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3"/>
  <workbookPr defaultThemeVersion="166925"/>
  <mc:AlternateContent xmlns:mc="http://schemas.openxmlformats.org/markup-compatibility/2006">
    <mc:Choice Requires="x15">
      <x15ac:absPath xmlns:x15ac="http://schemas.microsoft.com/office/spreadsheetml/2010/11/ac" url="C:\Users\Myagmarsuren_d\Downloads\"/>
    </mc:Choice>
  </mc:AlternateContent>
  <xr:revisionPtr revIDLastSave="0" documentId="13_ncr:1_{59598A7B-9C01-4519-A607-8ED6FB50334D}" xr6:coauthVersionLast="36" xr6:coauthVersionMax="47" xr10:uidLastSave="{00000000-0000-0000-0000-000000000000}"/>
  <workbookProtection workbookAlgorithmName="SHA-512" workbookHashValue="Bh28oQ6UNiEmdLMadgOuUQLeR6OJjzWWhr+y8BsF14gA71VI0Kbz8ZKkor9dZbY387gEu1M800iHC8WqSPbpbw==" workbookSaltValue="a5h+RhGEWzNgoTczfebNSQ==" workbookSpinCount="100000" lockStructure="1"/>
  <bookViews>
    <workbookView xWindow="0" yWindow="0" windowWidth="28800" windowHeight="11625" tabRatio="601" firstSheet="5" activeTab="5" xr2:uid="{D758C2FC-C1CE-42BA-94B8-FCBA26CB68ED}"/>
  </bookViews>
  <sheets>
    <sheet name="Тайлан нөхөх зааварчилгаа" sheetId="19" r:id="rId1"/>
    <sheet name="STATISTICS" sheetId="5" r:id="rId2"/>
    <sheet name="Balance" sheetId="1" r:id="rId3"/>
    <sheet name="Balancesheet" sheetId="2" r:id="rId4"/>
    <sheet name="INCOME" sheetId="3" r:id="rId5"/>
    <sheet name="LOAN-PD" sheetId="6" r:id="rId6"/>
    <sheet name="LOAN-green" sheetId="7" r:id="rId7"/>
    <sheet name="SAVING" sheetId="8" r:id="rId8"/>
    <sheet name="40 BIG LOAN" sheetId="9" r:id="rId9"/>
    <sheet name="INSIDER" sheetId="10" r:id="rId10"/>
    <sheet name="40 BIG SAVING" sheetId="11" r:id="rId11"/>
    <sheet name="BIG SHARES" sheetId="12" r:id="rId12"/>
    <sheet name="ALM" sheetId="13" r:id="rId13"/>
    <sheet name="A" sheetId="14" r:id="rId14"/>
    <sheet name="E" sheetId="15" r:id="rId15"/>
    <sheet name="R" sheetId="16" r:id="rId16"/>
    <sheet name="L" sheetId="17" r:id="rId17"/>
    <sheet name="PRUD RATIO" sheetId="18" r:id="rId18"/>
  </sheets>
  <externalReferences>
    <externalReference r:id="rId19"/>
    <externalReference r:id="rId20"/>
  </externalReferences>
  <definedNames>
    <definedName name="_xlnm.Print_Area" localSheetId="8">'40 BIG LOAN'!$A$1:$Q$76</definedName>
    <definedName name="_xlnm.Print_Area" localSheetId="10">'40 BIG SAVING'!$A$1:$M$66</definedName>
    <definedName name="_xlnm.Print_Area" localSheetId="13">A!$A$1:$H$43</definedName>
    <definedName name="_xlnm.Print_Area" localSheetId="12">ALM!$A$1:$K$40</definedName>
    <definedName name="_xlnm.Print_Area" localSheetId="2">Balance!$A$1:$H$252</definedName>
    <definedName name="_xlnm.Print_Area" localSheetId="3">Balancesheet!$A$1:$H$87</definedName>
    <definedName name="_xlnm.Print_Area" localSheetId="11">'BIG SHARES'!$A$1:$E$65</definedName>
    <definedName name="_xlnm.Print_Area" localSheetId="14">E!$A$1:$C$72</definedName>
    <definedName name="_xlnm.Print_Area" localSheetId="4">INCOME!$A$1:$D$112</definedName>
    <definedName name="_xlnm.Print_Area" localSheetId="9">INSIDER!$A$1:$P$66</definedName>
    <definedName name="_xlnm.Print_Area" localSheetId="16">L!$A$1:$C$27</definedName>
    <definedName name="_xlnm.Print_Area" localSheetId="6">'LOAN-green'!$A$1:$U$129</definedName>
    <definedName name="_xlnm.Print_Area" localSheetId="5">'LOAN-PD'!$A$1:$AG$166</definedName>
    <definedName name="_xlnm.Print_Area" localSheetId="17">'PRUD RATIO'!$A$1:$E$41</definedName>
    <definedName name="_xlnm.Print_Area" localSheetId="15">'R'!$A$1:$C$44</definedName>
    <definedName name="_xlnm.Print_Area" localSheetId="7">SAVING!$A$1:$O$87</definedName>
    <definedName name="_xlnm.Print_Area" localSheetId="1">STATISTICS!$A$1:$C$114</definedName>
    <definedName name="_xlnm.Print_Area" localSheetId="0">'Тайлан нөхөх зааварчилгаа'!$A$1:$H$36</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58" i="6" l="1"/>
  <c r="Z30" i="6" l="1"/>
  <c r="R18" i="7" l="1"/>
  <c r="Q18" i="7"/>
  <c r="P18" i="7"/>
  <c r="O18" i="7"/>
  <c r="Y30" i="6" l="1"/>
  <c r="X30" i="6" l="1"/>
  <c r="M31" i="6" l="1"/>
  <c r="S73" i="7" l="1"/>
  <c r="S77" i="7"/>
  <c r="S80" i="7"/>
  <c r="S88" i="7" s="1"/>
  <c r="S92" i="7"/>
  <c r="S98" i="7"/>
  <c r="S107" i="7" s="1"/>
  <c r="S102" i="7"/>
  <c r="S65" i="7"/>
  <c r="S57" i="7"/>
  <c r="S53" i="7"/>
  <c r="S48" i="7"/>
  <c r="S44" i="7"/>
  <c r="S37" i="7"/>
  <c r="S32" i="7"/>
  <c r="S22" i="7"/>
  <c r="S20" i="7"/>
  <c r="M16" i="6"/>
  <c r="S87" i="7"/>
  <c r="S60" i="7"/>
  <c r="AC17" i="6"/>
  <c r="S47" i="7"/>
  <c r="S68" i="7"/>
  <c r="M15" i="6"/>
  <c r="S101" i="7"/>
  <c r="AC15" i="6"/>
  <c r="AC16" i="6"/>
  <c r="S76" i="7"/>
  <c r="M17" i="6"/>
  <c r="S19" i="7"/>
  <c r="H92" i="7" l="1"/>
  <c r="H80" i="7"/>
  <c r="H88" i="7" s="1"/>
  <c r="H48" i="7"/>
  <c r="H37" i="7"/>
  <c r="H44" i="7"/>
  <c r="H57" i="7"/>
  <c r="H65" i="7"/>
  <c r="H73" i="7"/>
  <c r="H77" i="7"/>
  <c r="H98" i="7"/>
  <c r="H107" i="7" s="1"/>
  <c r="H102" i="7"/>
  <c r="H53" i="7"/>
  <c r="H32" i="7"/>
  <c r="H22" i="7"/>
  <c r="M140" i="6"/>
  <c r="M135" i="6"/>
  <c r="M130" i="6"/>
  <c r="M125" i="6"/>
  <c r="M120" i="6"/>
  <c r="M114" i="6"/>
  <c r="M108" i="6"/>
  <c r="M103" i="6"/>
  <c r="M98" i="6"/>
  <c r="M93" i="6"/>
  <c r="M88" i="6"/>
  <c r="M83" i="6"/>
  <c r="M78" i="6"/>
  <c r="M73" i="6"/>
  <c r="M68" i="6"/>
  <c r="M63" i="6"/>
  <c r="M58" i="6"/>
  <c r="M53" i="6"/>
  <c r="M48" i="6"/>
  <c r="M43" i="6"/>
  <c r="M38" i="6"/>
  <c r="AC31" i="6"/>
  <c r="AC38" i="6"/>
  <c r="AC43" i="6"/>
  <c r="AC48" i="6"/>
  <c r="AC53" i="6"/>
  <c r="AC58" i="6"/>
  <c r="AC63" i="6"/>
  <c r="AC68" i="6"/>
  <c r="AC73" i="6"/>
  <c r="AC78" i="6"/>
  <c r="AC83" i="6"/>
  <c r="AC88" i="6"/>
  <c r="AC93" i="6"/>
  <c r="AC98" i="6"/>
  <c r="AC103" i="6"/>
  <c r="AC108" i="6"/>
  <c r="AC114" i="6"/>
  <c r="AC120" i="6"/>
  <c r="AC125" i="6"/>
  <c r="AC130" i="6"/>
  <c r="AC135" i="6"/>
  <c r="AC140" i="6"/>
  <c r="H68" i="7"/>
  <c r="H76" i="7"/>
  <c r="H60" i="7"/>
  <c r="H47" i="7"/>
  <c r="AC14" i="6"/>
  <c r="H101" i="7"/>
  <c r="H19" i="7"/>
  <c r="M14" i="6"/>
  <c r="H36" i="7"/>
  <c r="H87" i="7"/>
  <c r="AC13" i="6" l="1"/>
  <c r="M13" i="6"/>
  <c r="H12" i="7"/>
  <c r="D17" i="5" l="1"/>
  <c r="Q112" i="7" l="1"/>
  <c r="Q110" i="7"/>
  <c r="Q109" i="7"/>
  <c r="Q108" i="7"/>
  <c r="Q106" i="7"/>
  <c r="Q104" i="7"/>
  <c r="Q103" i="7"/>
  <c r="Q100" i="7"/>
  <c r="Q99" i="7"/>
  <c r="Q97" i="7"/>
  <c r="Q96" i="7"/>
  <c r="Q95" i="7"/>
  <c r="Q94" i="7"/>
  <c r="Q93" i="7"/>
  <c r="Q91" i="7"/>
  <c r="Q90" i="7"/>
  <c r="Q89" i="7"/>
  <c r="Q86" i="7"/>
  <c r="Q84" i="7"/>
  <c r="Q83" i="7"/>
  <c r="Q82" i="7"/>
  <c r="Q81" i="7"/>
  <c r="Q79" i="7"/>
  <c r="Q78" i="7"/>
  <c r="Q75" i="7"/>
  <c r="Q74" i="7"/>
  <c r="Q72" i="7"/>
  <c r="Q71" i="7"/>
  <c r="Q70" i="7"/>
  <c r="Q67" i="7"/>
  <c r="Q66" i="7"/>
  <c r="Q64" i="7"/>
  <c r="Q62" i="7"/>
  <c r="Q59" i="7"/>
  <c r="Q58" i="7"/>
  <c r="Q56" i="7"/>
  <c r="Q55" i="7"/>
  <c r="Q54" i="7"/>
  <c r="Q52" i="7"/>
  <c r="Q51" i="7"/>
  <c r="Q50" i="7"/>
  <c r="Q49" i="7"/>
  <c r="Q46" i="7"/>
  <c r="Q45" i="7"/>
  <c r="Q43" i="7"/>
  <c r="Q41" i="7"/>
  <c r="Q39" i="7"/>
  <c r="Q38" i="7"/>
  <c r="Q35" i="7"/>
  <c r="Q34" i="7"/>
  <c r="Q33" i="7"/>
  <c r="Q31" i="7"/>
  <c r="Q29" i="7"/>
  <c r="Q27" i="7"/>
  <c r="Q25" i="7"/>
  <c r="Q24" i="7"/>
  <c r="Q23" i="7"/>
  <c r="Q21" i="7"/>
  <c r="Q17" i="7"/>
  <c r="Q16" i="7"/>
  <c r="Q15" i="7"/>
  <c r="Q14" i="7"/>
  <c r="Q13" i="7"/>
  <c r="O12" i="7"/>
  <c r="AA143" i="6"/>
  <c r="AA149" i="6"/>
  <c r="AA148" i="6"/>
  <c r="AA147" i="6"/>
  <c r="AA146" i="6"/>
  <c r="AA145" i="6"/>
  <c r="AA144" i="6"/>
  <c r="AA142" i="6"/>
  <c r="AA141" i="6"/>
  <c r="AA139" i="6"/>
  <c r="AA138" i="6"/>
  <c r="AA137" i="6"/>
  <c r="AA136" i="6"/>
  <c r="AA134" i="6"/>
  <c r="AA133" i="6"/>
  <c r="AA132" i="6"/>
  <c r="AA131" i="6"/>
  <c r="AA129" i="6"/>
  <c r="AA128" i="6"/>
  <c r="AA127" i="6"/>
  <c r="AA126" i="6"/>
  <c r="AA124" i="6"/>
  <c r="AA123" i="6"/>
  <c r="AA122" i="6"/>
  <c r="AA121" i="6"/>
  <c r="AA119" i="6"/>
  <c r="AA118" i="6"/>
  <c r="AA117" i="6"/>
  <c r="AA116" i="6"/>
  <c r="AA115" i="6"/>
  <c r="AA113" i="6"/>
  <c r="AA112" i="6"/>
  <c r="AA111" i="6"/>
  <c r="AA110" i="6"/>
  <c r="AA109" i="6"/>
  <c r="AA107" i="6"/>
  <c r="AA106" i="6"/>
  <c r="AA105" i="6"/>
  <c r="AA104" i="6"/>
  <c r="AA102" i="6"/>
  <c r="AA101" i="6"/>
  <c r="AA100" i="6"/>
  <c r="AA99" i="6"/>
  <c r="AA97" i="6"/>
  <c r="AA96" i="6"/>
  <c r="AA95" i="6"/>
  <c r="AA94" i="6"/>
  <c r="AA92" i="6"/>
  <c r="AA91" i="6"/>
  <c r="AA90" i="6"/>
  <c r="AA89" i="6"/>
  <c r="AA87" i="6"/>
  <c r="AA86" i="6"/>
  <c r="AA85" i="6"/>
  <c r="AA84" i="6"/>
  <c r="AA82" i="6"/>
  <c r="AA81" i="6"/>
  <c r="AA80" i="6"/>
  <c r="AA79" i="6"/>
  <c r="AA77" i="6"/>
  <c r="AA76" i="6"/>
  <c r="AA75" i="6"/>
  <c r="AA74" i="6"/>
  <c r="AA72" i="6"/>
  <c r="AA71" i="6"/>
  <c r="AA70" i="6"/>
  <c r="AA69" i="6"/>
  <c r="AA67" i="6"/>
  <c r="AA66" i="6"/>
  <c r="AA65" i="6"/>
  <c r="AA64" i="6"/>
  <c r="AA62" i="6"/>
  <c r="AA61" i="6"/>
  <c r="AA60" i="6"/>
  <c r="AA59" i="6"/>
  <c r="AA57" i="6"/>
  <c r="AA56" i="6"/>
  <c r="AA55" i="6"/>
  <c r="AA54" i="6"/>
  <c r="AA52" i="6"/>
  <c r="AA51" i="6"/>
  <c r="AA50" i="6"/>
  <c r="AA49" i="6"/>
  <c r="AA47" i="6"/>
  <c r="AA46" i="6"/>
  <c r="AA45" i="6"/>
  <c r="AA44" i="6"/>
  <c r="AA42" i="6"/>
  <c r="AA41" i="6"/>
  <c r="AA40" i="6"/>
  <c r="AA39" i="6"/>
  <c r="AA37" i="6"/>
  <c r="AA36" i="6"/>
  <c r="AA35" i="6"/>
  <c r="AA34" i="6"/>
  <c r="AA33" i="6"/>
  <c r="AA32" i="6"/>
  <c r="AA28" i="6"/>
  <c r="Y149" i="6"/>
  <c r="Y148" i="6"/>
  <c r="Y147" i="6"/>
  <c r="Y146" i="6"/>
  <c r="Y145" i="6"/>
  <c r="Y144" i="6"/>
  <c r="Y143" i="6"/>
  <c r="Y142" i="6"/>
  <c r="Y141" i="6"/>
  <c r="Y139" i="6"/>
  <c r="Y138" i="6"/>
  <c r="Y137" i="6"/>
  <c r="Y136" i="6"/>
  <c r="Y134" i="6"/>
  <c r="Y133" i="6"/>
  <c r="Y132" i="6"/>
  <c r="Y131" i="6"/>
  <c r="Y129" i="6"/>
  <c r="Y128" i="6"/>
  <c r="Y127" i="6"/>
  <c r="Y126" i="6"/>
  <c r="Y124" i="6"/>
  <c r="Y123" i="6"/>
  <c r="Y122" i="6"/>
  <c r="Y121" i="6"/>
  <c r="Y119" i="6"/>
  <c r="Y118" i="6"/>
  <c r="Y117" i="6"/>
  <c r="Y116" i="6"/>
  <c r="Y115" i="6"/>
  <c r="Y113" i="6"/>
  <c r="Y112" i="6"/>
  <c r="Y111" i="6"/>
  <c r="Y110" i="6"/>
  <c r="Y109" i="6"/>
  <c r="Y107" i="6"/>
  <c r="Y106" i="6"/>
  <c r="Y105" i="6"/>
  <c r="Y104" i="6"/>
  <c r="Y102" i="6"/>
  <c r="Y101" i="6"/>
  <c r="Y100" i="6"/>
  <c r="Y99" i="6"/>
  <c r="Y97" i="6"/>
  <c r="Y96" i="6"/>
  <c r="Y95" i="6"/>
  <c r="Y94" i="6"/>
  <c r="Y92" i="6"/>
  <c r="Y91" i="6"/>
  <c r="Y90" i="6"/>
  <c r="Y89" i="6"/>
  <c r="Y87" i="6"/>
  <c r="Y86" i="6"/>
  <c r="Y85" i="6"/>
  <c r="Y84" i="6"/>
  <c r="Y82" i="6"/>
  <c r="Y81" i="6"/>
  <c r="Y80" i="6"/>
  <c r="Y79" i="6"/>
  <c r="Y77" i="6"/>
  <c r="Y76" i="6"/>
  <c r="Y75" i="6"/>
  <c r="Y74" i="6"/>
  <c r="Y72" i="6"/>
  <c r="Y71" i="6"/>
  <c r="Y70" i="6"/>
  <c r="Y69" i="6"/>
  <c r="Y67" i="6"/>
  <c r="Y66" i="6"/>
  <c r="Y65" i="6"/>
  <c r="Y64" i="6"/>
  <c r="Y62" i="6"/>
  <c r="Y61" i="6"/>
  <c r="Y60" i="6"/>
  <c r="Y59" i="6"/>
  <c r="Y57" i="6"/>
  <c r="Y56" i="6"/>
  <c r="Y55" i="6"/>
  <c r="Y54" i="6"/>
  <c r="Y52" i="6"/>
  <c r="Y51" i="6"/>
  <c r="Y50" i="6"/>
  <c r="Y49" i="6"/>
  <c r="Y47" i="6"/>
  <c r="Y46" i="6"/>
  <c r="Y45" i="6"/>
  <c r="Y44" i="6"/>
  <c r="Y42" i="6"/>
  <c r="Y41" i="6"/>
  <c r="Y40" i="6"/>
  <c r="Y39" i="6"/>
  <c r="Y37" i="6"/>
  <c r="Y36" i="6"/>
  <c r="Y35" i="6"/>
  <c r="Y34" i="6"/>
  <c r="Y33" i="6"/>
  <c r="Y32" i="6"/>
  <c r="AA29" i="6"/>
  <c r="AA27" i="6"/>
  <c r="AA26" i="6"/>
  <c r="AA25" i="6"/>
  <c r="Y29" i="6"/>
  <c r="Y28" i="6"/>
  <c r="Y27" i="6"/>
  <c r="Y26" i="6"/>
  <c r="Y25" i="6"/>
  <c r="AA24" i="6"/>
  <c r="AA23" i="6"/>
  <c r="AA22" i="6"/>
  <c r="AA21" i="6"/>
  <c r="AA20" i="6"/>
  <c r="AA19" i="6"/>
  <c r="AA18" i="6"/>
  <c r="Y24" i="6"/>
  <c r="Y23" i="6"/>
  <c r="Y22" i="6"/>
  <c r="Y21" i="6"/>
  <c r="Y20" i="6"/>
  <c r="Y19" i="6"/>
  <c r="Y18" i="6"/>
  <c r="V17" i="6"/>
  <c r="V16" i="6"/>
  <c r="V15" i="6"/>
  <c r="T17" i="6"/>
  <c r="T16" i="6"/>
  <c r="T15" i="6"/>
  <c r="R17" i="6"/>
  <c r="AA17" i="6" s="1"/>
  <c r="R16" i="6"/>
  <c r="AA16" i="6" s="1"/>
  <c r="R15" i="6"/>
  <c r="AA15" i="6" s="1"/>
  <c r="P17" i="6"/>
  <c r="Y17" i="6" s="1"/>
  <c r="P16" i="6"/>
  <c r="Y16" i="6" s="1"/>
  <c r="P15" i="6"/>
  <c r="Y15" i="6" s="1"/>
  <c r="K17" i="6"/>
  <c r="K16" i="6"/>
  <c r="K15" i="6"/>
  <c r="I17" i="6"/>
  <c r="I16" i="6"/>
  <c r="I15" i="6"/>
  <c r="G17" i="6"/>
  <c r="G16" i="6"/>
  <c r="G15" i="6"/>
  <c r="E17" i="6"/>
  <c r="E16" i="6"/>
  <c r="E15" i="6"/>
  <c r="C65" i="2"/>
  <c r="C64" i="2"/>
  <c r="C63" i="2"/>
  <c r="C61" i="2"/>
  <c r="C60" i="2"/>
  <c r="C59" i="2"/>
  <c r="C21" i="2"/>
  <c r="C12" i="2"/>
  <c r="C28" i="2"/>
  <c r="C29" i="2"/>
  <c r="C30" i="2"/>
  <c r="AH30" i="6" s="1"/>
  <c r="C31" i="2"/>
  <c r="C34" i="2"/>
  <c r="C35" i="2"/>
  <c r="C36" i="2"/>
  <c r="C20" i="2"/>
  <c r="H112" i="1"/>
  <c r="H110" i="1"/>
  <c r="H107" i="1"/>
  <c r="H102" i="1"/>
  <c r="H96" i="1"/>
  <c r="H94" i="1"/>
  <c r="H92" i="1"/>
  <c r="H89" i="1"/>
  <c r="H85" i="1"/>
  <c r="H82" i="1"/>
  <c r="H80" i="1"/>
  <c r="H78" i="1"/>
  <c r="H75" i="1"/>
  <c r="H73" i="1"/>
  <c r="H71" i="1"/>
  <c r="H69" i="1"/>
  <c r="H66" i="1"/>
  <c r="H64" i="1"/>
  <c r="H61" i="1"/>
  <c r="H59" i="1"/>
  <c r="H54" i="1"/>
  <c r="H51" i="1"/>
  <c r="H49" i="1"/>
  <c r="H47" i="1"/>
  <c r="H44" i="1"/>
  <c r="H42" i="1"/>
  <c r="H39" i="1"/>
  <c r="H36" i="1"/>
  <c r="H33" i="1"/>
  <c r="H30" i="1"/>
  <c r="H27" i="1"/>
  <c r="H23" i="1"/>
  <c r="H15" i="1"/>
  <c r="H12" i="1"/>
  <c r="H114" i="1"/>
  <c r="H116" i="1"/>
  <c r="H122" i="1"/>
  <c r="D240" i="1"/>
  <c r="D236" i="1"/>
  <c r="D230" i="1"/>
  <c r="D226" i="1"/>
  <c r="D221" i="1"/>
  <c r="D215" i="1"/>
  <c r="D204" i="1"/>
  <c r="D182" i="1"/>
  <c r="D177" i="1"/>
  <c r="D174" i="1"/>
  <c r="D167" i="1"/>
  <c r="D162" i="1"/>
  <c r="D156" i="1"/>
  <c r="D151" i="1"/>
  <c r="D147" i="1"/>
  <c r="D143" i="1"/>
  <c r="D139" i="1"/>
  <c r="D135" i="1"/>
  <c r="D131" i="1"/>
  <c r="D126" i="1"/>
  <c r="D122" i="1"/>
  <c r="D118" i="1"/>
  <c r="D114" i="1"/>
  <c r="D110" i="1"/>
  <c r="D106" i="1"/>
  <c r="D101" i="1"/>
  <c r="D96" i="1"/>
  <c r="D90" i="1"/>
  <c r="D85" i="1"/>
  <c r="D82" i="1"/>
  <c r="D79" i="1"/>
  <c r="D77" i="1"/>
  <c r="D72" i="1"/>
  <c r="D69" i="1"/>
  <c r="D65" i="1"/>
  <c r="D63" i="1"/>
  <c r="D61" i="1"/>
  <c r="C39" i="2" s="1"/>
  <c r="D59" i="1"/>
  <c r="C38" i="2" s="1"/>
  <c r="D57" i="1"/>
  <c r="C37" i="2" s="1"/>
  <c r="C33" i="2" s="1"/>
  <c r="D54" i="1"/>
  <c r="D51" i="1"/>
  <c r="D49" i="1"/>
  <c r="D47" i="1"/>
  <c r="D45" i="1"/>
  <c r="D42" i="1"/>
  <c r="C27" i="2" s="1"/>
  <c r="D39" i="1"/>
  <c r="C26" i="2" s="1"/>
  <c r="D36" i="1"/>
  <c r="C25" i="2" s="1"/>
  <c r="C24" i="2" s="1"/>
  <c r="D32" i="1"/>
  <c r="C23" i="2" s="1"/>
  <c r="D29" i="1"/>
  <c r="C22" i="2" s="1"/>
  <c r="D26" i="1"/>
  <c r="C17" i="2" s="1"/>
  <c r="D24" i="1"/>
  <c r="C16" i="2" s="1"/>
  <c r="D22" i="1"/>
  <c r="C15" i="2" s="1"/>
  <c r="D19" i="1"/>
  <c r="C14" i="2" s="1"/>
  <c r="D16" i="1"/>
  <c r="C13" i="2" s="1"/>
  <c r="D12" i="1"/>
  <c r="K18" i="13" l="1"/>
  <c r="AH15" i="6"/>
  <c r="AH26" i="6"/>
  <c r="AH28" i="6"/>
  <c r="AH29" i="6"/>
  <c r="AH27" i="6"/>
  <c r="AH25" i="6"/>
  <c r="H11" i="1"/>
  <c r="C62" i="2"/>
  <c r="C58" i="2"/>
  <c r="C19" i="2"/>
  <c r="C18" i="2" s="1"/>
  <c r="C11" i="2"/>
  <c r="H106" i="1"/>
  <c r="H105" i="1" s="1"/>
  <c r="H88" i="1"/>
  <c r="H84" i="1" s="1"/>
  <c r="H77" i="1"/>
  <c r="H68" i="1"/>
  <c r="H41" i="1"/>
  <c r="H26" i="1"/>
  <c r="H25" i="1" s="1"/>
  <c r="D166" i="1"/>
  <c r="D155" i="1" s="1"/>
  <c r="D130" i="1"/>
  <c r="D105" i="1"/>
  <c r="D100" i="1" s="1"/>
  <c r="D53" i="1"/>
  <c r="D35" i="1"/>
  <c r="D28" i="1"/>
  <c r="D15" i="1"/>
  <c r="D11" i="1" s="1"/>
  <c r="H10" i="1" l="1"/>
  <c r="H53" i="1"/>
  <c r="D71" i="1"/>
  <c r="D218" i="1" s="1"/>
  <c r="D10" i="1"/>
  <c r="L50" i="11" l="1"/>
  <c r="L49" i="11"/>
  <c r="L11" i="11"/>
  <c r="N34" i="6" l="1"/>
  <c r="N35" i="6"/>
  <c r="N18" i="6"/>
  <c r="AH18" i="6" l="1"/>
  <c r="AG135" i="6" l="1" a="1"/>
  <c r="AG135" i="6" s="1"/>
  <c r="AG130" i="6" a="1"/>
  <c r="AG130" i="6" s="1"/>
  <c r="AG125" i="6" a="1"/>
  <c r="AG125" i="6" s="1"/>
  <c r="AG120" i="6" a="1"/>
  <c r="AG120" i="6" s="1"/>
  <c r="AG114" i="6" a="1"/>
  <c r="AG114" i="6" s="1"/>
  <c r="AG108" i="6" a="1"/>
  <c r="AG108" i="6" s="1"/>
  <c r="AG48" i="6" a="1"/>
  <c r="AG48" i="6" s="1"/>
  <c r="AG103" i="6" a="1"/>
  <c r="AG103" i="6" s="1"/>
  <c r="AG98" i="6" a="1"/>
  <c r="AG98" i="6" s="1"/>
  <c r="AG93" i="6" a="1"/>
  <c r="AG93" i="6" s="1"/>
  <c r="AG88" i="6" a="1"/>
  <c r="AG88" i="6" s="1"/>
  <c r="AG83" i="6" a="1"/>
  <c r="AG83" i="6" s="1"/>
  <c r="AG78" i="6" a="1"/>
  <c r="AG78" i="6" s="1"/>
  <c r="AG73" i="6" a="1"/>
  <c r="AG73" i="6" s="1"/>
  <c r="AG68" i="6" a="1"/>
  <c r="AG68" i="6" s="1"/>
  <c r="AG63" i="6" a="1"/>
  <c r="AG63" i="6" s="1"/>
  <c r="AG58" i="6" a="1"/>
  <c r="AG58" i="6" s="1"/>
  <c r="AG53" i="6" a="1"/>
  <c r="AG53" i="6" s="1"/>
  <c r="AG43" i="6" a="1"/>
  <c r="AG43" i="6"/>
  <c r="AG38" i="6" a="1"/>
  <c r="AG38" i="6" s="1"/>
  <c r="AG31" i="6" a="1"/>
  <c r="AG31" i="6" s="1"/>
  <c r="AG13" i="6" s="1" a="1"/>
  <c r="AG13" i="6" s="1"/>
  <c r="AG140" i="6" a="1"/>
  <c r="AG140" i="6" s="1"/>
  <c r="P12" i="7" l="1"/>
  <c r="F12" i="12" l="1"/>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D22" i="18" l="1"/>
  <c r="J17" i="13" l="1"/>
  <c r="I17" i="13"/>
  <c r="H17" i="13"/>
  <c r="G17" i="13"/>
  <c r="AB18" i="6" l="1"/>
  <c r="Z18" i="6"/>
  <c r="D17" i="13"/>
  <c r="H173" i="6"/>
  <c r="H171" i="6"/>
  <c r="H129" i="7"/>
  <c r="H127" i="7"/>
  <c r="B53" i="11"/>
  <c r="B63" i="9"/>
  <c r="R17" i="7" l="1"/>
  <c r="P57" i="8"/>
  <c r="P56" i="8"/>
  <c r="P55" i="8"/>
  <c r="P54" i="8"/>
  <c r="P53" i="8"/>
  <c r="P52" i="8"/>
  <c r="P51" i="8"/>
  <c r="P50" i="8"/>
  <c r="P49" i="8"/>
  <c r="P48" i="8"/>
  <c r="P45" i="8"/>
  <c r="P44" i="8"/>
  <c r="P43" i="8"/>
  <c r="P42" i="8"/>
  <c r="P41" i="8"/>
  <c r="P40" i="8"/>
  <c r="P39" i="8"/>
  <c r="P38" i="8"/>
  <c r="P37" i="8"/>
  <c r="P36" i="8"/>
  <c r="J20" i="7"/>
  <c r="I112" i="7"/>
  <c r="I111" i="7" s="1"/>
  <c r="I110" i="7"/>
  <c r="I108" i="7"/>
  <c r="I107" i="7" s="1"/>
  <c r="I106" i="7"/>
  <c r="I105" i="7" s="1"/>
  <c r="I104" i="7"/>
  <c r="I103" i="7"/>
  <c r="I100" i="7"/>
  <c r="I99" i="7"/>
  <c r="I97" i="7"/>
  <c r="I96" i="7"/>
  <c r="I92" i="7" s="1"/>
  <c r="I95" i="7"/>
  <c r="I94" i="7"/>
  <c r="I91" i="7"/>
  <c r="I90" i="7"/>
  <c r="I89" i="7"/>
  <c r="I86" i="7"/>
  <c r="I85" i="7" s="1"/>
  <c r="I84" i="7"/>
  <c r="I83" i="7"/>
  <c r="I82" i="7"/>
  <c r="I81" i="7"/>
  <c r="I79" i="7"/>
  <c r="I78" i="7"/>
  <c r="I75" i="7"/>
  <c r="I74" i="7"/>
  <c r="I73" i="7" s="1"/>
  <c r="I72" i="7"/>
  <c r="I71" i="7"/>
  <c r="I70" i="7"/>
  <c r="I67" i="7"/>
  <c r="I66" i="7"/>
  <c r="I64" i="7"/>
  <c r="I63" i="7" s="1"/>
  <c r="I62" i="7"/>
  <c r="I61" i="7" s="1"/>
  <c r="I59" i="7"/>
  <c r="I58" i="7"/>
  <c r="I57" i="7" s="1"/>
  <c r="I56" i="7"/>
  <c r="I55" i="7"/>
  <c r="I54" i="7"/>
  <c r="I53" i="7" s="1"/>
  <c r="I52" i="7"/>
  <c r="I51" i="7"/>
  <c r="I50" i="7"/>
  <c r="I49" i="7"/>
  <c r="I46" i="7"/>
  <c r="I45" i="7"/>
  <c r="I43" i="7"/>
  <c r="I42" i="7" s="1"/>
  <c r="I41" i="7"/>
  <c r="I40" i="7" s="1"/>
  <c r="I39" i="7"/>
  <c r="I38" i="7"/>
  <c r="I37" i="7" s="1"/>
  <c r="I35" i="7"/>
  <c r="I34" i="7"/>
  <c r="I33" i="7"/>
  <c r="I31" i="7"/>
  <c r="I30" i="7" s="1"/>
  <c r="I29" i="7"/>
  <c r="I28" i="7" s="1"/>
  <c r="I27" i="7"/>
  <c r="I26" i="7" s="1"/>
  <c r="I25" i="7"/>
  <c r="I24" i="7"/>
  <c r="I23" i="7"/>
  <c r="I21" i="7"/>
  <c r="I20" i="7" s="1"/>
  <c r="N149" i="6"/>
  <c r="N148" i="6"/>
  <c r="N147" i="6"/>
  <c r="N146" i="6"/>
  <c r="N145" i="6"/>
  <c r="N144" i="6"/>
  <c r="N143" i="6"/>
  <c r="N142" i="6"/>
  <c r="N141" i="6"/>
  <c r="N140" i="6" s="1"/>
  <c r="N139" i="6"/>
  <c r="N138" i="6"/>
  <c r="N137" i="6"/>
  <c r="N136" i="6"/>
  <c r="N135" i="6" s="1"/>
  <c r="N134" i="6"/>
  <c r="N130" i="6" s="1"/>
  <c r="N133" i="6"/>
  <c r="N132" i="6"/>
  <c r="N131" i="6"/>
  <c r="N129" i="6"/>
  <c r="N128" i="6"/>
  <c r="N127" i="6"/>
  <c r="N126" i="6"/>
  <c r="N124" i="6"/>
  <c r="N123" i="6"/>
  <c r="N122" i="6"/>
  <c r="N121" i="6"/>
  <c r="N120" i="6"/>
  <c r="N119" i="6"/>
  <c r="N118" i="6"/>
  <c r="N117" i="6"/>
  <c r="N116" i="6"/>
  <c r="N115" i="6"/>
  <c r="N113" i="6"/>
  <c r="N112" i="6"/>
  <c r="N111" i="6"/>
  <c r="N110" i="6"/>
  <c r="N109" i="6"/>
  <c r="N107" i="6"/>
  <c r="N106" i="6"/>
  <c r="N105" i="6"/>
  <c r="N104" i="6"/>
  <c r="N103" i="6" s="1"/>
  <c r="N102" i="6"/>
  <c r="N101" i="6"/>
  <c r="N100" i="6"/>
  <c r="N99" i="6"/>
  <c r="N97" i="6"/>
  <c r="N96" i="6"/>
  <c r="N95" i="6"/>
  <c r="N94" i="6"/>
  <c r="N92" i="6"/>
  <c r="N91" i="6"/>
  <c r="N90" i="6"/>
  <c r="N89" i="6"/>
  <c r="N88" i="6" s="1"/>
  <c r="N87" i="6"/>
  <c r="N86" i="6"/>
  <c r="N85" i="6"/>
  <c r="N83" i="6" s="1"/>
  <c r="N84" i="6"/>
  <c r="N82" i="6"/>
  <c r="N81" i="6"/>
  <c r="N80" i="6"/>
  <c r="N79" i="6"/>
  <c r="N77" i="6"/>
  <c r="N73" i="6" s="1"/>
  <c r="N76" i="6"/>
  <c r="N75" i="6"/>
  <c r="N74" i="6"/>
  <c r="N72" i="6"/>
  <c r="N71" i="6"/>
  <c r="N70" i="6"/>
  <c r="N69" i="6"/>
  <c r="N67" i="6"/>
  <c r="N66" i="6"/>
  <c r="N65" i="6"/>
  <c r="N64" i="6"/>
  <c r="N63" i="6" s="1"/>
  <c r="N62" i="6"/>
  <c r="N61" i="6"/>
  <c r="N60" i="6"/>
  <c r="N59" i="6"/>
  <c r="N57" i="6"/>
  <c r="N56" i="6"/>
  <c r="N55" i="6"/>
  <c r="N54" i="6"/>
  <c r="N53" i="6" s="1"/>
  <c r="N52" i="6"/>
  <c r="N51" i="6"/>
  <c r="N50" i="6"/>
  <c r="N49" i="6"/>
  <c r="N48" i="6"/>
  <c r="N47" i="6"/>
  <c r="N46" i="6"/>
  <c r="N45" i="6"/>
  <c r="N44" i="6"/>
  <c r="N42" i="6"/>
  <c r="N41" i="6"/>
  <c r="N40" i="6"/>
  <c r="N15" i="6" s="1"/>
  <c r="O15" i="6" s="1"/>
  <c r="N39" i="6"/>
  <c r="N37" i="6"/>
  <c r="N36" i="6"/>
  <c r="N31" i="6" s="1"/>
  <c r="N33" i="6"/>
  <c r="N32" i="6"/>
  <c r="N24" i="6"/>
  <c r="N23" i="6"/>
  <c r="N22" i="6"/>
  <c r="N21" i="6"/>
  <c r="N20" i="6"/>
  <c r="N19" i="6"/>
  <c r="AD109" i="6"/>
  <c r="AD141" i="6"/>
  <c r="AF140" i="6"/>
  <c r="AD149" i="6"/>
  <c r="AD148" i="6"/>
  <c r="AD147" i="6"/>
  <c r="AD146" i="6"/>
  <c r="AD145" i="6"/>
  <c r="AD144" i="6"/>
  <c r="AD143" i="6"/>
  <c r="AD142" i="6"/>
  <c r="AD139" i="6"/>
  <c r="AD138" i="6"/>
  <c r="AD137" i="6"/>
  <c r="AD136" i="6"/>
  <c r="AD134" i="6"/>
  <c r="AD133" i="6"/>
  <c r="AD132" i="6"/>
  <c r="AD131" i="6"/>
  <c r="AD129" i="6"/>
  <c r="AD128" i="6"/>
  <c r="AD127" i="6"/>
  <c r="AD126" i="6"/>
  <c r="AD124" i="6"/>
  <c r="AD123" i="6"/>
  <c r="AD122" i="6"/>
  <c r="AD121" i="6"/>
  <c r="AD119" i="6"/>
  <c r="AD118" i="6"/>
  <c r="AD117" i="6"/>
  <c r="AD116" i="6"/>
  <c r="AD114" i="6" s="1"/>
  <c r="AD115" i="6"/>
  <c r="AD113" i="6"/>
  <c r="AD112" i="6"/>
  <c r="AD111" i="6"/>
  <c r="AD110" i="6"/>
  <c r="AD107" i="6"/>
  <c r="AD106" i="6"/>
  <c r="AD105" i="6"/>
  <c r="AD104" i="6"/>
  <c r="AD102" i="6"/>
  <c r="AD101" i="6"/>
  <c r="AD100" i="6"/>
  <c r="AD99" i="6"/>
  <c r="AD97" i="6"/>
  <c r="AD96" i="6"/>
  <c r="AD95" i="6"/>
  <c r="AD94" i="6"/>
  <c r="AD92" i="6"/>
  <c r="AD91" i="6"/>
  <c r="AD90" i="6"/>
  <c r="AD89" i="6"/>
  <c r="AD88" i="6" s="1"/>
  <c r="AD87" i="6"/>
  <c r="AD86" i="6"/>
  <c r="AD85" i="6"/>
  <c r="AD84" i="6"/>
  <c r="AD83" i="6" s="1"/>
  <c r="AD82" i="6"/>
  <c r="AD81" i="6"/>
  <c r="AD80" i="6"/>
  <c r="AD79" i="6"/>
  <c r="AD77" i="6"/>
  <c r="AD76" i="6"/>
  <c r="AD75" i="6"/>
  <c r="AD74" i="6"/>
  <c r="AD73" i="6" s="1"/>
  <c r="AD72" i="6"/>
  <c r="AD71" i="6"/>
  <c r="AD70" i="6"/>
  <c r="AD69" i="6"/>
  <c r="AD67" i="6"/>
  <c r="AD66" i="6"/>
  <c r="AD65" i="6"/>
  <c r="AD64" i="6"/>
  <c r="AD63" i="6" s="1"/>
  <c r="AD62" i="6"/>
  <c r="AD61" i="6"/>
  <c r="AD60" i="6"/>
  <c r="AD59" i="6"/>
  <c r="AD57" i="6"/>
  <c r="AD56" i="6"/>
  <c r="AD55" i="6"/>
  <c r="AD54" i="6"/>
  <c r="AD52" i="6"/>
  <c r="AD51" i="6"/>
  <c r="AD50" i="6"/>
  <c r="AD49" i="6"/>
  <c r="AD48" i="6" s="1"/>
  <c r="AD47" i="6"/>
  <c r="AD46" i="6"/>
  <c r="AD45" i="6"/>
  <c r="AD44" i="6"/>
  <c r="AD43" i="6" s="1"/>
  <c r="AD42" i="6"/>
  <c r="AD41" i="6"/>
  <c r="AD40" i="6"/>
  <c r="AD39" i="6"/>
  <c r="AD37" i="6"/>
  <c r="AD36" i="6"/>
  <c r="AD35" i="6"/>
  <c r="AD33" i="6"/>
  <c r="AD32" i="6"/>
  <c r="AH19" i="6"/>
  <c r="AH20" i="6"/>
  <c r="AH21" i="6"/>
  <c r="AH22" i="6"/>
  <c r="AH23" i="6"/>
  <c r="AH24" i="6"/>
  <c r="AD24" i="6"/>
  <c r="AD23" i="6"/>
  <c r="AD22" i="6"/>
  <c r="AD21" i="6"/>
  <c r="AH149" i="6"/>
  <c r="AH148" i="6"/>
  <c r="AH147" i="6"/>
  <c r="AH146" i="6"/>
  <c r="AH145" i="6"/>
  <c r="AH144" i="6"/>
  <c r="AH143" i="6"/>
  <c r="AH142" i="6"/>
  <c r="AH141" i="6"/>
  <c r="AH139" i="6"/>
  <c r="AH138" i="6"/>
  <c r="AH137" i="6"/>
  <c r="AH136" i="6"/>
  <c r="AH134" i="6"/>
  <c r="AH133" i="6"/>
  <c r="AH132" i="6"/>
  <c r="AH131" i="6"/>
  <c r="AH129" i="6"/>
  <c r="AH128" i="6"/>
  <c r="AH127" i="6"/>
  <c r="AH126" i="6"/>
  <c r="AH124" i="6"/>
  <c r="AH123" i="6"/>
  <c r="AH122" i="6"/>
  <c r="AH121" i="6"/>
  <c r="AH119" i="6"/>
  <c r="AH118" i="6"/>
  <c r="AH117" i="6"/>
  <c r="AH116" i="6"/>
  <c r="AH115" i="6"/>
  <c r="AH113" i="6"/>
  <c r="AH112" i="6"/>
  <c r="AH111" i="6"/>
  <c r="AH110" i="6"/>
  <c r="AH109" i="6"/>
  <c r="AH107" i="6"/>
  <c r="AH106" i="6"/>
  <c r="AH105" i="6"/>
  <c r="AH104" i="6"/>
  <c r="AH102" i="6"/>
  <c r="AH101" i="6"/>
  <c r="AH100" i="6"/>
  <c r="AH99" i="6"/>
  <c r="AH97" i="6"/>
  <c r="AH96" i="6"/>
  <c r="AH95" i="6"/>
  <c r="AH94" i="6"/>
  <c r="AH92" i="6"/>
  <c r="AH91" i="6"/>
  <c r="AH90" i="6"/>
  <c r="AH89" i="6"/>
  <c r="AH87" i="6"/>
  <c r="AH86" i="6"/>
  <c r="AH85" i="6"/>
  <c r="AH84" i="6"/>
  <c r="AH82" i="6"/>
  <c r="AH81" i="6"/>
  <c r="AH80" i="6"/>
  <c r="AH79" i="6"/>
  <c r="AH77" i="6"/>
  <c r="AH76" i="6"/>
  <c r="AH75" i="6"/>
  <c r="AH74" i="6"/>
  <c r="AH72" i="6"/>
  <c r="AH71" i="6"/>
  <c r="AH70" i="6"/>
  <c r="AH69" i="6"/>
  <c r="AH67" i="6"/>
  <c r="AH66" i="6"/>
  <c r="AH65" i="6"/>
  <c r="AH64" i="6"/>
  <c r="AH62" i="6"/>
  <c r="AH61" i="6"/>
  <c r="AH60" i="6"/>
  <c r="AH59" i="6"/>
  <c r="AH57" i="6"/>
  <c r="AH56" i="6"/>
  <c r="AH55" i="6"/>
  <c r="AH54" i="6"/>
  <c r="AH52" i="6"/>
  <c r="AH51" i="6"/>
  <c r="AH50" i="6"/>
  <c r="AH49" i="6"/>
  <c r="AH47" i="6"/>
  <c r="AH46" i="6"/>
  <c r="AH45" i="6"/>
  <c r="AH44" i="6"/>
  <c r="AH42" i="6"/>
  <c r="AH41" i="6"/>
  <c r="AH40" i="6"/>
  <c r="AH39" i="6"/>
  <c r="AH36" i="6"/>
  <c r="AH35" i="6"/>
  <c r="AH34" i="6"/>
  <c r="AH33" i="6"/>
  <c r="AH32" i="6"/>
  <c r="N78" i="6" l="1"/>
  <c r="N114" i="6"/>
  <c r="N43" i="6"/>
  <c r="I77" i="7"/>
  <c r="N98" i="6"/>
  <c r="I80" i="7"/>
  <c r="N16" i="6"/>
  <c r="O16" i="6" s="1"/>
  <c r="AD38" i="6"/>
  <c r="AD58" i="6"/>
  <c r="I32" i="7"/>
  <c r="AD15" i="6"/>
  <c r="AD120" i="6"/>
  <c r="AD140" i="6"/>
  <c r="N68" i="6"/>
  <c r="N125" i="6"/>
  <c r="N17" i="6"/>
  <c r="O17" i="6" s="1"/>
  <c r="N108" i="6"/>
  <c r="N38" i="6"/>
  <c r="N93" i="6"/>
  <c r="I69" i="7"/>
  <c r="I68" i="7" s="1"/>
  <c r="N58" i="6"/>
  <c r="I44" i="7"/>
  <c r="AD93" i="6"/>
  <c r="AD17" i="6"/>
  <c r="AD78" i="6"/>
  <c r="AD68" i="6"/>
  <c r="AD108" i="6"/>
  <c r="AD53" i="6"/>
  <c r="I102" i="7"/>
  <c r="I101" i="7" s="1"/>
  <c r="I88" i="7"/>
  <c r="I87" i="7" s="1"/>
  <c r="I36" i="7"/>
  <c r="I65" i="7"/>
  <c r="I60" i="7" s="1"/>
  <c r="I48" i="7"/>
  <c r="I47" i="7" s="1"/>
  <c r="I98" i="7"/>
  <c r="N14" i="6"/>
  <c r="I22" i="7"/>
  <c r="AD16" i="6"/>
  <c r="AD103" i="6"/>
  <c r="AD98" i="6"/>
  <c r="AD125" i="6"/>
  <c r="AD130" i="6"/>
  <c r="AD135" i="6"/>
  <c r="I19" i="7" l="1"/>
  <c r="N13" i="6"/>
  <c r="I76" i="7"/>
  <c r="I12" i="7"/>
  <c r="D41" i="18" l="1"/>
  <c r="D39" i="18"/>
  <c r="A5" i="18"/>
  <c r="C27" i="17"/>
  <c r="C25" i="17"/>
  <c r="A5" i="17"/>
  <c r="C44" i="16"/>
  <c r="C42" i="16"/>
  <c r="A5" i="16"/>
  <c r="E43" i="14"/>
  <c r="E41" i="14"/>
  <c r="A5" i="14"/>
  <c r="A5" i="15" l="1"/>
  <c r="C72" i="15"/>
  <c r="C70" i="15"/>
  <c r="G40" i="13"/>
  <c r="G38" i="13"/>
  <c r="A5" i="13"/>
  <c r="D65" i="12"/>
  <c r="D63" i="12"/>
  <c r="A5" i="12"/>
  <c r="I66" i="11"/>
  <c r="I64" i="11"/>
  <c r="A5" i="11"/>
  <c r="K66" i="10"/>
  <c r="K64" i="10"/>
  <c r="A5" i="10"/>
  <c r="K76" i="9"/>
  <c r="K74" i="9"/>
  <c r="A5" i="9"/>
  <c r="H87" i="8"/>
  <c r="H85" i="8"/>
  <c r="A4" i="8"/>
  <c r="A5" i="7"/>
  <c r="A5" i="6"/>
  <c r="C112" i="3"/>
  <c r="C110" i="3"/>
  <c r="A5" i="3"/>
  <c r="A5" i="2"/>
  <c r="F87" i="2"/>
  <c r="F85" i="2"/>
  <c r="F252" i="1"/>
  <c r="F250" i="1"/>
  <c r="A5" i="1"/>
  <c r="D86" i="5"/>
  <c r="D69" i="5"/>
  <c r="D19" i="5"/>
  <c r="D22" i="5"/>
  <c r="D21" i="5"/>
  <c r="D20" i="5"/>
  <c r="D28" i="5"/>
  <c r="D27" i="5"/>
  <c r="D26" i="5"/>
  <c r="D25" i="5"/>
  <c r="D24" i="5"/>
  <c r="D64" i="5"/>
  <c r="D57" i="5"/>
  <c r="D33" i="5"/>
  <c r="F140" i="6" l="1"/>
  <c r="F135" i="6"/>
  <c r="F130" i="6"/>
  <c r="F125" i="6"/>
  <c r="F120" i="6"/>
  <c r="F114" i="6"/>
  <c r="F108" i="6"/>
  <c r="F103" i="6"/>
  <c r="F98" i="6"/>
  <c r="F93" i="6"/>
  <c r="F88" i="6"/>
  <c r="F83" i="6"/>
  <c r="F78" i="6"/>
  <c r="F73" i="6"/>
  <c r="F68" i="6"/>
  <c r="F63" i="6"/>
  <c r="F58" i="6"/>
  <c r="F53" i="6"/>
  <c r="F48" i="6"/>
  <c r="F43" i="6"/>
  <c r="F38" i="6"/>
  <c r="F31" i="6"/>
  <c r="H140" i="6"/>
  <c r="H14" i="6" s="1"/>
  <c r="H135" i="6"/>
  <c r="H130" i="6"/>
  <c r="H125" i="6"/>
  <c r="H120" i="6"/>
  <c r="H114" i="6"/>
  <c r="H108" i="6"/>
  <c r="H103" i="6"/>
  <c r="H98" i="6"/>
  <c r="H93" i="6"/>
  <c r="H88" i="6"/>
  <c r="H83" i="6"/>
  <c r="H78" i="6"/>
  <c r="H73" i="6"/>
  <c r="H68" i="6"/>
  <c r="H63" i="6"/>
  <c r="H58" i="6"/>
  <c r="H53" i="6"/>
  <c r="H48" i="6"/>
  <c r="H43" i="6"/>
  <c r="H38" i="6"/>
  <c r="H31" i="6"/>
  <c r="J140" i="6"/>
  <c r="J14" i="6" s="1"/>
  <c r="J135" i="6"/>
  <c r="J130" i="6"/>
  <c r="J125" i="6"/>
  <c r="J120" i="6"/>
  <c r="J114" i="6"/>
  <c r="J108" i="6"/>
  <c r="J103" i="6"/>
  <c r="J98" i="6"/>
  <c r="J93" i="6"/>
  <c r="J88" i="6"/>
  <c r="J83" i="6"/>
  <c r="J78" i="6"/>
  <c r="J73" i="6"/>
  <c r="J68" i="6"/>
  <c r="J63" i="6"/>
  <c r="J58" i="6"/>
  <c r="J53" i="6"/>
  <c r="J48" i="6"/>
  <c r="J43" i="6"/>
  <c r="J38" i="6"/>
  <c r="J31" i="6"/>
  <c r="L140" i="6"/>
  <c r="L135" i="6"/>
  <c r="L130" i="6"/>
  <c r="L125" i="6"/>
  <c r="L120" i="6"/>
  <c r="L114" i="6"/>
  <c r="L108" i="6"/>
  <c r="L103" i="6"/>
  <c r="L98" i="6"/>
  <c r="L93" i="6"/>
  <c r="L88" i="6"/>
  <c r="L83" i="6"/>
  <c r="L78" i="6"/>
  <c r="L73" i="6"/>
  <c r="L68" i="6"/>
  <c r="L63" i="6"/>
  <c r="L58" i="6"/>
  <c r="L53" i="6"/>
  <c r="L48" i="6"/>
  <c r="L43" i="6"/>
  <c r="L38" i="6"/>
  <c r="L31" i="6"/>
  <c r="Q140" i="6"/>
  <c r="Q135" i="6"/>
  <c r="Q130" i="6"/>
  <c r="Q125" i="6"/>
  <c r="Q120" i="6"/>
  <c r="Q114" i="6"/>
  <c r="Q108" i="6"/>
  <c r="Q103" i="6"/>
  <c r="Q98" i="6"/>
  <c r="Q93" i="6"/>
  <c r="Q88" i="6"/>
  <c r="Q83" i="6"/>
  <c r="Q78" i="6"/>
  <c r="Q73" i="6"/>
  <c r="Q68" i="6"/>
  <c r="Q63" i="6"/>
  <c r="Q58" i="6"/>
  <c r="Q53" i="6"/>
  <c r="Q48" i="6"/>
  <c r="Q43" i="6"/>
  <c r="Q38" i="6"/>
  <c r="Q31" i="6"/>
  <c r="S140" i="6"/>
  <c r="S135" i="6"/>
  <c r="S130" i="6"/>
  <c r="S125" i="6"/>
  <c r="S120" i="6"/>
  <c r="S114" i="6"/>
  <c r="S108" i="6"/>
  <c r="S103" i="6"/>
  <c r="S98" i="6"/>
  <c r="S93" i="6"/>
  <c r="S88" i="6"/>
  <c r="S83" i="6"/>
  <c r="S78" i="6"/>
  <c r="S73" i="6"/>
  <c r="S68" i="6"/>
  <c r="S63" i="6"/>
  <c r="S58" i="6"/>
  <c r="S53" i="6"/>
  <c r="S48" i="6"/>
  <c r="S43" i="6"/>
  <c r="S38" i="6"/>
  <c r="S31" i="6"/>
  <c r="U140" i="6"/>
  <c r="U135" i="6"/>
  <c r="U130" i="6"/>
  <c r="U125" i="6"/>
  <c r="U120" i="6"/>
  <c r="U114" i="6"/>
  <c r="U108" i="6"/>
  <c r="U103" i="6"/>
  <c r="U98" i="6"/>
  <c r="U93" i="6"/>
  <c r="U88" i="6"/>
  <c r="U83" i="6"/>
  <c r="U78" i="6"/>
  <c r="U73" i="6"/>
  <c r="U68" i="6"/>
  <c r="U63" i="6"/>
  <c r="U53" i="6"/>
  <c r="U48" i="6"/>
  <c r="U43" i="6"/>
  <c r="U38" i="6"/>
  <c r="U31" i="6"/>
  <c r="J15" i="6"/>
  <c r="J16" i="6"/>
  <c r="J17" i="6"/>
  <c r="H17" i="6"/>
  <c r="H16" i="6"/>
  <c r="H15" i="6"/>
  <c r="L17" i="6"/>
  <c r="J13" i="6" l="1"/>
  <c r="H13" i="6"/>
  <c r="K24" i="13" l="1"/>
  <c r="D20" i="13"/>
  <c r="I20" i="13"/>
  <c r="H20" i="13"/>
  <c r="G20" i="13"/>
  <c r="J20" i="13"/>
  <c r="K16" i="13"/>
  <c r="K15" i="13"/>
  <c r="K19" i="13"/>
  <c r="C13" i="13"/>
  <c r="K13" i="13" s="1"/>
  <c r="C12" i="17" l="1"/>
  <c r="R112" i="7"/>
  <c r="R110" i="7"/>
  <c r="R109" i="7"/>
  <c r="R108" i="7"/>
  <c r="R106" i="7"/>
  <c r="R104" i="7"/>
  <c r="R103" i="7"/>
  <c r="R100" i="7"/>
  <c r="R99" i="7"/>
  <c r="R97" i="7"/>
  <c r="R96" i="7"/>
  <c r="R95" i="7"/>
  <c r="R94" i="7"/>
  <c r="R93" i="7"/>
  <c r="R91" i="7"/>
  <c r="R90" i="7"/>
  <c r="R89" i="7"/>
  <c r="R86" i="7"/>
  <c r="R84" i="7"/>
  <c r="R83" i="7"/>
  <c r="R82" i="7"/>
  <c r="R81" i="7"/>
  <c r="R79" i="7"/>
  <c r="R78" i="7"/>
  <c r="R75" i="7"/>
  <c r="R74" i="7"/>
  <c r="R72" i="7"/>
  <c r="R71" i="7"/>
  <c r="R70" i="7"/>
  <c r="R67" i="7"/>
  <c r="R66" i="7"/>
  <c r="R64" i="7"/>
  <c r="R62" i="7"/>
  <c r="R59" i="7"/>
  <c r="R58" i="7"/>
  <c r="R56" i="7"/>
  <c r="R55" i="7"/>
  <c r="R54" i="7"/>
  <c r="R52" i="7"/>
  <c r="R51" i="7"/>
  <c r="R50" i="7"/>
  <c r="R49" i="7"/>
  <c r="R46" i="7"/>
  <c r="R45" i="7"/>
  <c r="R43" i="7"/>
  <c r="R41" i="7"/>
  <c r="R39" i="7"/>
  <c r="R38" i="7"/>
  <c r="R35" i="7"/>
  <c r="R34" i="7"/>
  <c r="R33" i="7"/>
  <c r="R31" i="7"/>
  <c r="R29" i="7"/>
  <c r="R27" i="7"/>
  <c r="R25" i="7"/>
  <c r="R24" i="7"/>
  <c r="R23" i="7"/>
  <c r="R21" i="7"/>
  <c r="R16" i="7"/>
  <c r="R15" i="7"/>
  <c r="R14" i="7"/>
  <c r="R13" i="7"/>
  <c r="AB149" i="6"/>
  <c r="AB148" i="6"/>
  <c r="AB147" i="6"/>
  <c r="AB146" i="6"/>
  <c r="AB145" i="6"/>
  <c r="AB144" i="6"/>
  <c r="AB143" i="6"/>
  <c r="AB142" i="6"/>
  <c r="AB141" i="6"/>
  <c r="AB139" i="6"/>
  <c r="AB138" i="6"/>
  <c r="AB137" i="6"/>
  <c r="AB136" i="6"/>
  <c r="AB134" i="6"/>
  <c r="AB133" i="6"/>
  <c r="AB132" i="6"/>
  <c r="AB131" i="6"/>
  <c r="AB129" i="6"/>
  <c r="AB128" i="6"/>
  <c r="AB127" i="6"/>
  <c r="AB126" i="6"/>
  <c r="AB124" i="6"/>
  <c r="AB123" i="6"/>
  <c r="AB122" i="6"/>
  <c r="AB121" i="6"/>
  <c r="AB119" i="6"/>
  <c r="AB118" i="6"/>
  <c r="AB117" i="6"/>
  <c r="AB116" i="6"/>
  <c r="AB115" i="6"/>
  <c r="AB113" i="6"/>
  <c r="AB112" i="6"/>
  <c r="AB111" i="6"/>
  <c r="AB110" i="6"/>
  <c r="AB109" i="6"/>
  <c r="AB107" i="6"/>
  <c r="AB106" i="6"/>
  <c r="AB105" i="6"/>
  <c r="AB104" i="6"/>
  <c r="AB102" i="6"/>
  <c r="AB101" i="6"/>
  <c r="AB100" i="6"/>
  <c r="AB99" i="6"/>
  <c r="AB97" i="6"/>
  <c r="AB96" i="6"/>
  <c r="AB95" i="6"/>
  <c r="AB94" i="6"/>
  <c r="AB92" i="6"/>
  <c r="AB91" i="6"/>
  <c r="AB90" i="6"/>
  <c r="AB89" i="6"/>
  <c r="AB87" i="6"/>
  <c r="AB86" i="6"/>
  <c r="AB85" i="6"/>
  <c r="AB84" i="6"/>
  <c r="AB82" i="6"/>
  <c r="AB81" i="6"/>
  <c r="AB80" i="6"/>
  <c r="AB79" i="6"/>
  <c r="AB77" i="6"/>
  <c r="AB76" i="6"/>
  <c r="AB75" i="6"/>
  <c r="AB74" i="6"/>
  <c r="AB72" i="6"/>
  <c r="AB71" i="6"/>
  <c r="AB70" i="6"/>
  <c r="AB69" i="6"/>
  <c r="AB67" i="6"/>
  <c r="AB66" i="6"/>
  <c r="AB65" i="6"/>
  <c r="AB64" i="6"/>
  <c r="AB62" i="6"/>
  <c r="AB61" i="6"/>
  <c r="AB60" i="6"/>
  <c r="AB59" i="6"/>
  <c r="AB57" i="6"/>
  <c r="AB56" i="6"/>
  <c r="AB55" i="6"/>
  <c r="AB54" i="6"/>
  <c r="AB52" i="6"/>
  <c r="AB51" i="6"/>
  <c r="AB50" i="6"/>
  <c r="AB49" i="6"/>
  <c r="AB47" i="6"/>
  <c r="AB46" i="6"/>
  <c r="AB45" i="6"/>
  <c r="AB44" i="6"/>
  <c r="AB42" i="6"/>
  <c r="AB41" i="6"/>
  <c r="AB40" i="6"/>
  <c r="AB39" i="6"/>
  <c r="AB37" i="6"/>
  <c r="AB36" i="6"/>
  <c r="AB35" i="6"/>
  <c r="AB34" i="6"/>
  <c r="AB33" i="6"/>
  <c r="AB32" i="6"/>
  <c r="AB28" i="6"/>
  <c r="AB29" i="6"/>
  <c r="AB27" i="6"/>
  <c r="AB26" i="6"/>
  <c r="AB25" i="6"/>
  <c r="AB24" i="6"/>
  <c r="AB23" i="6"/>
  <c r="AB22" i="6"/>
  <c r="AB21" i="6"/>
  <c r="AB20" i="6"/>
  <c r="AB19" i="6"/>
  <c r="Z149" i="6"/>
  <c r="Z148" i="6"/>
  <c r="Z147" i="6"/>
  <c r="Z146" i="6"/>
  <c r="Z145" i="6"/>
  <c r="Z144" i="6"/>
  <c r="Z143" i="6"/>
  <c r="Z142" i="6"/>
  <c r="Z141" i="6"/>
  <c r="Z140" i="6"/>
  <c r="Z139" i="6"/>
  <c r="Z138" i="6"/>
  <c r="Z137" i="6"/>
  <c r="Z136" i="6"/>
  <c r="Z135" i="6"/>
  <c r="Z134" i="6"/>
  <c r="Z133" i="6"/>
  <c r="Z132" i="6"/>
  <c r="Z131" i="6"/>
  <c r="Z130" i="6"/>
  <c r="Z129" i="6"/>
  <c r="Z128" i="6"/>
  <c r="Z127" i="6"/>
  <c r="Z126" i="6"/>
  <c r="Z125" i="6"/>
  <c r="Z124" i="6"/>
  <c r="Z123" i="6"/>
  <c r="Z122" i="6"/>
  <c r="Z121" i="6"/>
  <c r="Z120" i="6"/>
  <c r="Z119" i="6"/>
  <c r="Z118" i="6"/>
  <c r="Z117" i="6"/>
  <c r="Z116" i="6"/>
  <c r="Z115" i="6"/>
  <c r="Z114" i="6"/>
  <c r="Z113" i="6"/>
  <c r="Z112" i="6"/>
  <c r="Z111" i="6"/>
  <c r="Z110" i="6"/>
  <c r="Z109" i="6"/>
  <c r="Z108" i="6"/>
  <c r="Z107" i="6"/>
  <c r="Z106" i="6"/>
  <c r="Z105" i="6"/>
  <c r="Z104" i="6"/>
  <c r="Z103" i="6"/>
  <c r="Z102" i="6"/>
  <c r="Z101" i="6"/>
  <c r="Z100" i="6"/>
  <c r="Z99" i="6"/>
  <c r="Z98" i="6"/>
  <c r="Z97" i="6"/>
  <c r="Z96" i="6"/>
  <c r="Z95" i="6"/>
  <c r="Z94" i="6"/>
  <c r="Z93" i="6"/>
  <c r="Z92" i="6"/>
  <c r="Z91" i="6"/>
  <c r="Z90" i="6"/>
  <c r="Z89" i="6"/>
  <c r="Z88" i="6"/>
  <c r="Z87" i="6"/>
  <c r="Z86" i="6"/>
  <c r="Z85" i="6"/>
  <c r="Z84" i="6"/>
  <c r="Z83" i="6"/>
  <c r="Z82" i="6"/>
  <c r="Z81" i="6"/>
  <c r="Z80" i="6"/>
  <c r="Z79" i="6"/>
  <c r="Z78" i="6"/>
  <c r="Z77" i="6"/>
  <c r="Z76" i="6"/>
  <c r="Z75" i="6"/>
  <c r="Z74" i="6"/>
  <c r="Z73" i="6"/>
  <c r="Z72" i="6"/>
  <c r="Z71" i="6"/>
  <c r="Z70" i="6"/>
  <c r="Z69" i="6"/>
  <c r="Z68" i="6"/>
  <c r="Z67" i="6"/>
  <c r="Z66" i="6"/>
  <c r="Z65" i="6"/>
  <c r="Z64" i="6"/>
  <c r="Z63" i="6"/>
  <c r="Z62" i="6"/>
  <c r="Z61" i="6"/>
  <c r="Z60" i="6"/>
  <c r="Z59" i="6"/>
  <c r="Z58" i="6"/>
  <c r="Z57" i="6"/>
  <c r="Z56" i="6"/>
  <c r="Z55" i="6"/>
  <c r="Z54" i="6"/>
  <c r="Z53" i="6"/>
  <c r="Z52" i="6"/>
  <c r="Z51" i="6"/>
  <c r="Z50" i="6"/>
  <c r="Z49" i="6"/>
  <c r="Z48" i="6"/>
  <c r="Z47" i="6"/>
  <c r="Z46" i="6"/>
  <c r="Z45" i="6"/>
  <c r="Z44" i="6"/>
  <c r="Z43" i="6"/>
  <c r="Z42" i="6"/>
  <c r="Z41" i="6"/>
  <c r="Z40" i="6"/>
  <c r="Z39" i="6"/>
  <c r="Z38" i="6"/>
  <c r="Z37" i="6"/>
  <c r="Z36" i="6"/>
  <c r="Z35" i="6"/>
  <c r="Z34" i="6"/>
  <c r="Z33" i="6"/>
  <c r="Z32" i="6"/>
  <c r="Z31" i="6"/>
  <c r="Z29" i="6"/>
  <c r="Z28" i="6"/>
  <c r="Z27" i="6"/>
  <c r="Z26" i="6"/>
  <c r="Z25" i="6"/>
  <c r="Z24" i="6"/>
  <c r="Z23" i="6"/>
  <c r="Z22" i="6"/>
  <c r="Z21" i="6"/>
  <c r="Z20" i="6"/>
  <c r="Z19" i="6"/>
  <c r="P60" i="9" l="1"/>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7" i="9"/>
  <c r="P16" i="9"/>
  <c r="P15" i="9"/>
  <c r="P14" i="9"/>
  <c r="P13" i="9"/>
  <c r="P12" i="9"/>
  <c r="P11" i="9"/>
  <c r="O13" i="10" l="1"/>
  <c r="O11" i="10"/>
  <c r="O12" i="10"/>
  <c r="O14" i="10"/>
  <c r="O15" i="10"/>
  <c r="O16" i="10"/>
  <c r="O17" i="10"/>
  <c r="O18" i="10"/>
  <c r="O19" i="10"/>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G77" i="2"/>
  <c r="O10" i="10" l="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U20" i="7" l="1"/>
  <c r="C28" i="14"/>
  <c r="C25" i="14" s="1"/>
  <c r="D31" i="14" s="1"/>
  <c r="C21" i="14"/>
  <c r="F31" i="14"/>
  <c r="F30" i="14"/>
  <c r="F29" i="14"/>
  <c r="F28" i="14" s="1"/>
  <c r="F27" i="14"/>
  <c r="F26" i="14"/>
  <c r="O68" i="8" a="1"/>
  <c r="O68" i="8" s="1"/>
  <c r="O58" i="8" a="1"/>
  <c r="O58" i="8" s="1"/>
  <c r="M62" i="8"/>
  <c r="L62" i="8"/>
  <c r="N68" i="8"/>
  <c r="H67" i="8"/>
  <c r="H66" i="8"/>
  <c r="H65" i="8"/>
  <c r="H64" i="8"/>
  <c r="H63" i="8"/>
  <c r="H62" i="8"/>
  <c r="H61" i="8"/>
  <c r="M67" i="8"/>
  <c r="L67" i="8"/>
  <c r="M66" i="8"/>
  <c r="L66" i="8"/>
  <c r="M65" i="8"/>
  <c r="L65" i="8"/>
  <c r="M64" i="8"/>
  <c r="L64" i="8"/>
  <c r="M63" i="8"/>
  <c r="L63" i="8"/>
  <c r="M61" i="8"/>
  <c r="L61" i="8"/>
  <c r="D68" i="8"/>
  <c r="C68" i="8"/>
  <c r="E68" i="8"/>
  <c r="J68" i="8"/>
  <c r="L10" i="8"/>
  <c r="J111" i="7"/>
  <c r="H111" i="7"/>
  <c r="U111" i="7"/>
  <c r="S111" i="7"/>
  <c r="U105" i="7"/>
  <c r="S105" i="7"/>
  <c r="J105" i="7"/>
  <c r="H105" i="7"/>
  <c r="U85" i="7"/>
  <c r="S85" i="7"/>
  <c r="J85" i="7"/>
  <c r="H85" i="7"/>
  <c r="U63" i="7"/>
  <c r="S63" i="7"/>
  <c r="U61" i="7"/>
  <c r="S61" i="7"/>
  <c r="S69" i="7" s="1"/>
  <c r="J63" i="7"/>
  <c r="H63" i="7"/>
  <c r="J61" i="7"/>
  <c r="H61" i="7"/>
  <c r="H69" i="7" s="1"/>
  <c r="U42" i="7"/>
  <c r="S42" i="7"/>
  <c r="U40" i="7"/>
  <c r="S40" i="7"/>
  <c r="J42" i="7"/>
  <c r="H42" i="7"/>
  <c r="J40" i="7"/>
  <c r="H40" i="7"/>
  <c r="U30" i="7"/>
  <c r="S30" i="7"/>
  <c r="U28" i="7"/>
  <c r="S28" i="7"/>
  <c r="U26" i="7"/>
  <c r="S26" i="7"/>
  <c r="J30" i="7"/>
  <c r="H30" i="7"/>
  <c r="J28" i="7"/>
  <c r="H28" i="7"/>
  <c r="J26" i="7"/>
  <c r="H26" i="7"/>
  <c r="H20" i="7"/>
  <c r="L68" i="8" l="1"/>
  <c r="F25" i="14"/>
  <c r="D26" i="14"/>
  <c r="D27" i="14"/>
  <c r="D28" i="14"/>
  <c r="D29" i="14"/>
  <c r="D30" i="14"/>
  <c r="H68" i="8"/>
  <c r="I61" i="8" s="1"/>
  <c r="M68" i="8"/>
  <c r="AE17" i="6" l="1"/>
  <c r="K23" i="13" l="1"/>
  <c r="F24" i="14" l="1"/>
  <c r="F23" i="14"/>
  <c r="F22" i="14"/>
  <c r="F21" i="14" s="1"/>
  <c r="F20" i="14"/>
  <c r="F19" i="14"/>
  <c r="F18" i="14" s="1"/>
  <c r="C8" i="17" l="1"/>
  <c r="C8" i="16"/>
  <c r="C8" i="15"/>
  <c r="C18" i="14"/>
  <c r="H8" i="14"/>
  <c r="B53" i="12"/>
  <c r="D52" i="12"/>
  <c r="D51" i="12"/>
  <c r="F11" i="12"/>
  <c r="E51" i="11"/>
  <c r="L50" i="10"/>
  <c r="K50" i="10"/>
  <c r="E50" i="10"/>
  <c r="M61" i="9"/>
  <c r="L61" i="9"/>
  <c r="E61" i="9"/>
  <c r="F61" i="9" s="1"/>
  <c r="K68" i="8"/>
  <c r="F68" i="8"/>
  <c r="N59" i="8"/>
  <c r="N58" i="8"/>
  <c r="K58" i="8"/>
  <c r="J58" i="8"/>
  <c r="F58" i="8"/>
  <c r="E58" i="8"/>
  <c r="I58" i="8" s="1"/>
  <c r="D58" i="8"/>
  <c r="C58" i="8"/>
  <c r="M57" i="8"/>
  <c r="L57" i="8"/>
  <c r="H57" i="8"/>
  <c r="M56" i="8"/>
  <c r="L56" i="8"/>
  <c r="H56" i="8"/>
  <c r="M55" i="8"/>
  <c r="L55" i="8"/>
  <c r="H55" i="8"/>
  <c r="M54" i="8"/>
  <c r="L54" i="8"/>
  <c r="H54" i="8"/>
  <c r="M53" i="8"/>
  <c r="L53" i="8"/>
  <c r="H53" i="8"/>
  <c r="M52" i="8"/>
  <c r="L52" i="8"/>
  <c r="H52" i="8"/>
  <c r="M51" i="8"/>
  <c r="L51" i="8"/>
  <c r="H51" i="8"/>
  <c r="M50" i="8"/>
  <c r="L50" i="8"/>
  <c r="H50" i="8"/>
  <c r="M49" i="8"/>
  <c r="L49" i="8"/>
  <c r="H49" i="8"/>
  <c r="M48" i="8"/>
  <c r="L48" i="8"/>
  <c r="H48" i="8"/>
  <c r="O46" i="8" a="1"/>
  <c r="O46" i="8" s="1"/>
  <c r="O59" i="8" s="1"/>
  <c r="N46" i="8"/>
  <c r="K46" i="8"/>
  <c r="J46" i="8"/>
  <c r="J59" i="8" s="1"/>
  <c r="J70" i="8" s="1"/>
  <c r="F46" i="8"/>
  <c r="E46" i="8"/>
  <c r="I46" i="8" s="1"/>
  <c r="D46" i="8"/>
  <c r="C46" i="8"/>
  <c r="C59" i="8" s="1"/>
  <c r="M45" i="8"/>
  <c r="L45" i="8"/>
  <c r="H45" i="8"/>
  <c r="M44" i="8"/>
  <c r="L44" i="8"/>
  <c r="H44" i="8"/>
  <c r="M43" i="8"/>
  <c r="L43" i="8"/>
  <c r="H43" i="8"/>
  <c r="M42" i="8"/>
  <c r="L42" i="8"/>
  <c r="H42" i="8"/>
  <c r="M41" i="8"/>
  <c r="L41" i="8"/>
  <c r="H41" i="8"/>
  <c r="M40" i="8"/>
  <c r="L40" i="8"/>
  <c r="H40" i="8"/>
  <c r="M39" i="8"/>
  <c r="L39" i="8"/>
  <c r="H39" i="8"/>
  <c r="M38" i="8"/>
  <c r="L38" i="8"/>
  <c r="H38" i="8"/>
  <c r="M37" i="8"/>
  <c r="L37" i="8"/>
  <c r="H37" i="8"/>
  <c r="M36" i="8"/>
  <c r="L36" i="8"/>
  <c r="H36" i="8"/>
  <c r="N33" i="8"/>
  <c r="O32" i="8" a="1"/>
  <c r="O32" i="8" s="1"/>
  <c r="N32" i="8"/>
  <c r="K32" i="8"/>
  <c r="J32" i="8"/>
  <c r="F32" i="8"/>
  <c r="E32" i="8"/>
  <c r="I32" i="8" s="1"/>
  <c r="D32" i="8"/>
  <c r="C32" i="8"/>
  <c r="M31" i="8"/>
  <c r="L31" i="8"/>
  <c r="H31" i="8"/>
  <c r="M30" i="8"/>
  <c r="L30" i="8"/>
  <c r="H30" i="8"/>
  <c r="M29" i="8"/>
  <c r="L29" i="8"/>
  <c r="H29" i="8"/>
  <c r="M28" i="8"/>
  <c r="L28" i="8"/>
  <c r="H28" i="8"/>
  <c r="M27" i="8"/>
  <c r="L27" i="8"/>
  <c r="H27" i="8"/>
  <c r="M26" i="8"/>
  <c r="L26" i="8"/>
  <c r="H26" i="8"/>
  <c r="M25" i="8"/>
  <c r="L25" i="8"/>
  <c r="H25" i="8"/>
  <c r="M24" i="8"/>
  <c r="L24" i="8"/>
  <c r="H24" i="8"/>
  <c r="M23" i="8"/>
  <c r="L23" i="8"/>
  <c r="H23" i="8"/>
  <c r="M22" i="8"/>
  <c r="L22" i="8"/>
  <c r="H22" i="8"/>
  <c r="O20" i="8" a="1"/>
  <c r="O20" i="8" s="1"/>
  <c r="N20" i="8"/>
  <c r="K20" i="8"/>
  <c r="J20" i="8"/>
  <c r="F20" i="8"/>
  <c r="E20" i="8"/>
  <c r="D20" i="8"/>
  <c r="C20" i="8"/>
  <c r="M19" i="8"/>
  <c r="L19" i="8"/>
  <c r="H19" i="8"/>
  <c r="M18" i="8"/>
  <c r="L18" i="8"/>
  <c r="H18" i="8"/>
  <c r="M17" i="8"/>
  <c r="L17" i="8"/>
  <c r="H17" i="8"/>
  <c r="M16" i="8"/>
  <c r="L16" i="8"/>
  <c r="H16" i="8"/>
  <c r="M15" i="8"/>
  <c r="L15" i="8"/>
  <c r="H15" i="8"/>
  <c r="M14" i="8"/>
  <c r="L14" i="8"/>
  <c r="H14" i="8"/>
  <c r="M13" i="8"/>
  <c r="L13" i="8"/>
  <c r="H13" i="8"/>
  <c r="M12" i="8"/>
  <c r="L12" i="8"/>
  <c r="H12" i="8"/>
  <c r="M11" i="8"/>
  <c r="L11" i="8"/>
  <c r="H11" i="8"/>
  <c r="M10" i="8"/>
  <c r="H10" i="8"/>
  <c r="G20" i="7"/>
  <c r="N111" i="7"/>
  <c r="M111" i="7"/>
  <c r="N107" i="7"/>
  <c r="M107" i="7"/>
  <c r="N105" i="7"/>
  <c r="M105" i="7"/>
  <c r="N102" i="7"/>
  <c r="M102" i="7"/>
  <c r="N98" i="7"/>
  <c r="M98" i="7"/>
  <c r="N92" i="7"/>
  <c r="M92" i="7"/>
  <c r="N88" i="7"/>
  <c r="M88" i="7"/>
  <c r="N85" i="7"/>
  <c r="M85" i="7"/>
  <c r="N80" i="7"/>
  <c r="M80" i="7"/>
  <c r="N77" i="7"/>
  <c r="N76" i="7" s="1"/>
  <c r="M77" i="7"/>
  <c r="N73" i="7"/>
  <c r="M73" i="7"/>
  <c r="N69" i="7"/>
  <c r="M69" i="7"/>
  <c r="M68" i="7" s="1"/>
  <c r="N65" i="7"/>
  <c r="M65" i="7"/>
  <c r="N63" i="7"/>
  <c r="M63" i="7"/>
  <c r="N61" i="7"/>
  <c r="M61" i="7"/>
  <c r="N57" i="7"/>
  <c r="M57" i="7"/>
  <c r="N53" i="7"/>
  <c r="M53" i="7"/>
  <c r="N48" i="7"/>
  <c r="N47" i="7" s="1"/>
  <c r="M48" i="7"/>
  <c r="N44" i="7"/>
  <c r="M44" i="7"/>
  <c r="N42" i="7"/>
  <c r="M42" i="7"/>
  <c r="N40" i="7"/>
  <c r="M40" i="7"/>
  <c r="N37" i="7"/>
  <c r="M37" i="7"/>
  <c r="N32" i="7"/>
  <c r="M32" i="7"/>
  <c r="N30" i="7"/>
  <c r="M30" i="7"/>
  <c r="N28" i="7"/>
  <c r="M28" i="7"/>
  <c r="N26" i="7"/>
  <c r="M26" i="7"/>
  <c r="N22" i="7"/>
  <c r="M22" i="7"/>
  <c r="N20" i="7"/>
  <c r="M20" i="7"/>
  <c r="L111" i="7"/>
  <c r="K111" i="7"/>
  <c r="L107" i="7"/>
  <c r="K107" i="7"/>
  <c r="L105" i="7"/>
  <c r="K105" i="7"/>
  <c r="L102" i="7"/>
  <c r="K102" i="7"/>
  <c r="L98" i="7"/>
  <c r="K98" i="7"/>
  <c r="L92" i="7"/>
  <c r="K92" i="7"/>
  <c r="L88" i="7"/>
  <c r="K88" i="7"/>
  <c r="Q88" i="7" s="1"/>
  <c r="L85" i="7"/>
  <c r="K85" i="7"/>
  <c r="Q85" i="7" s="1"/>
  <c r="L80" i="7"/>
  <c r="K80" i="7"/>
  <c r="Q80" i="7" s="1"/>
  <c r="L77" i="7"/>
  <c r="K77" i="7"/>
  <c r="L73" i="7"/>
  <c r="K73" i="7"/>
  <c r="L69" i="7"/>
  <c r="K69" i="7"/>
  <c r="L65" i="7"/>
  <c r="K65" i="7"/>
  <c r="L63" i="7"/>
  <c r="K63" i="7"/>
  <c r="Q63" i="7" s="1"/>
  <c r="L61" i="7"/>
  <c r="K61" i="7"/>
  <c r="Q61" i="7" s="1"/>
  <c r="L57" i="7"/>
  <c r="K57" i="7"/>
  <c r="Q57" i="7" s="1"/>
  <c r="L53" i="7"/>
  <c r="K53" i="7"/>
  <c r="L48" i="7"/>
  <c r="K48" i="7"/>
  <c r="L44" i="7"/>
  <c r="K44" i="7"/>
  <c r="L42" i="7"/>
  <c r="K42" i="7"/>
  <c r="L40" i="7"/>
  <c r="K40" i="7"/>
  <c r="L37" i="7"/>
  <c r="L36" i="7" s="1"/>
  <c r="K37" i="7"/>
  <c r="L32" i="7"/>
  <c r="K32" i="7"/>
  <c r="Q32" i="7" s="1"/>
  <c r="L30" i="7"/>
  <c r="K30" i="7"/>
  <c r="Q30" i="7" s="1"/>
  <c r="L28" i="7"/>
  <c r="K28" i="7"/>
  <c r="Q28" i="7" s="1"/>
  <c r="L26" i="7"/>
  <c r="K26" i="7"/>
  <c r="L22" i="7"/>
  <c r="K22" i="7"/>
  <c r="L20" i="7"/>
  <c r="K20" i="7"/>
  <c r="G111" i="7"/>
  <c r="F111" i="7"/>
  <c r="G107" i="7"/>
  <c r="F107" i="7"/>
  <c r="J107" i="7" s="1"/>
  <c r="G105" i="7"/>
  <c r="F105" i="7"/>
  <c r="G102" i="7"/>
  <c r="F102" i="7"/>
  <c r="G98" i="7"/>
  <c r="F98" i="7"/>
  <c r="J98" i="7" s="1"/>
  <c r="G92" i="7"/>
  <c r="F92" i="7"/>
  <c r="J92" i="7" s="1"/>
  <c r="G88" i="7"/>
  <c r="F88" i="7"/>
  <c r="G85" i="7"/>
  <c r="F85" i="7"/>
  <c r="G80" i="7"/>
  <c r="F80" i="7"/>
  <c r="J80" i="7" s="1"/>
  <c r="G77" i="7"/>
  <c r="F77" i="7"/>
  <c r="G73" i="7"/>
  <c r="F73" i="7"/>
  <c r="J73" i="7" s="1"/>
  <c r="G69" i="7"/>
  <c r="G68" i="7" s="1"/>
  <c r="F69" i="7"/>
  <c r="G65" i="7"/>
  <c r="F65" i="7"/>
  <c r="J65" i="7" s="1"/>
  <c r="G63" i="7"/>
  <c r="F63" i="7"/>
  <c r="G61" i="7"/>
  <c r="F61" i="7"/>
  <c r="G57" i="7"/>
  <c r="F57" i="7"/>
  <c r="J57" i="7" s="1"/>
  <c r="G53" i="7"/>
  <c r="F53" i="7"/>
  <c r="G48" i="7"/>
  <c r="F48" i="7"/>
  <c r="J48" i="7" s="1"/>
  <c r="G44" i="7"/>
  <c r="F44" i="7"/>
  <c r="J44" i="7" s="1"/>
  <c r="G42" i="7"/>
  <c r="F42" i="7"/>
  <c r="G40" i="7"/>
  <c r="F40" i="7"/>
  <c r="G37" i="7"/>
  <c r="F37" i="7"/>
  <c r="G32" i="7"/>
  <c r="F32" i="7"/>
  <c r="J32" i="7" s="1"/>
  <c r="G30" i="7"/>
  <c r="F30" i="7"/>
  <c r="G28" i="7"/>
  <c r="F28" i="7"/>
  <c r="G26" i="7"/>
  <c r="F26" i="7"/>
  <c r="G22" i="7"/>
  <c r="F22" i="7"/>
  <c r="J22" i="7" s="1"/>
  <c r="F20" i="7"/>
  <c r="T112" i="7"/>
  <c r="T111" i="7" s="1"/>
  <c r="T110" i="7"/>
  <c r="T108" i="7"/>
  <c r="T106" i="7"/>
  <c r="T105" i="7" s="1"/>
  <c r="T104" i="7"/>
  <c r="T100" i="7"/>
  <c r="T97" i="7"/>
  <c r="T96" i="7"/>
  <c r="T95" i="7"/>
  <c r="T94" i="7"/>
  <c r="T91" i="7"/>
  <c r="T90" i="7"/>
  <c r="T86" i="7"/>
  <c r="T85" i="7" s="1"/>
  <c r="T84" i="7"/>
  <c r="T83" i="7"/>
  <c r="T82" i="7"/>
  <c r="T79" i="7"/>
  <c r="T75" i="7"/>
  <c r="T72" i="7"/>
  <c r="T71" i="7"/>
  <c r="T67" i="7"/>
  <c r="T64" i="7"/>
  <c r="T63" i="7" s="1"/>
  <c r="T62" i="7"/>
  <c r="T61" i="7" s="1"/>
  <c r="T59" i="7"/>
  <c r="T56" i="7"/>
  <c r="T55" i="7"/>
  <c r="T52" i="7"/>
  <c r="T51" i="7"/>
  <c r="T50" i="7"/>
  <c r="T46" i="7"/>
  <c r="T43" i="7"/>
  <c r="T42" i="7" s="1"/>
  <c r="T41" i="7"/>
  <c r="T40" i="7" s="1"/>
  <c r="T39" i="7"/>
  <c r="T35" i="7"/>
  <c r="T34" i="7"/>
  <c r="T31" i="7"/>
  <c r="T30" i="7" s="1"/>
  <c r="T29" i="7"/>
  <c r="T28" i="7" s="1"/>
  <c r="T27" i="7"/>
  <c r="T26" i="7" s="1"/>
  <c r="T25" i="7"/>
  <c r="T24" i="7"/>
  <c r="T23" i="7"/>
  <c r="T21" i="7"/>
  <c r="T20" i="7" s="1"/>
  <c r="E111" i="7"/>
  <c r="E107" i="7"/>
  <c r="E105" i="7"/>
  <c r="E102" i="7"/>
  <c r="E98" i="7"/>
  <c r="E92" i="7"/>
  <c r="R92" i="7" s="1"/>
  <c r="E88" i="7"/>
  <c r="E85" i="7"/>
  <c r="R85" i="7" s="1"/>
  <c r="E80" i="7"/>
  <c r="R80" i="7" s="1"/>
  <c r="E77" i="7"/>
  <c r="E73" i="7"/>
  <c r="E69" i="7"/>
  <c r="E65" i="7"/>
  <c r="E63" i="7"/>
  <c r="E61" i="7"/>
  <c r="E57" i="7"/>
  <c r="E53" i="7"/>
  <c r="E48" i="7"/>
  <c r="R48" i="7" s="1"/>
  <c r="E44" i="7"/>
  <c r="E42" i="7"/>
  <c r="E40" i="7"/>
  <c r="E37" i="7"/>
  <c r="R37" i="7" s="1"/>
  <c r="E32" i="7"/>
  <c r="E30" i="7"/>
  <c r="E28" i="7"/>
  <c r="E26" i="7"/>
  <c r="E22" i="7"/>
  <c r="E20" i="7"/>
  <c r="D20" i="7"/>
  <c r="D22" i="7"/>
  <c r="D26" i="7"/>
  <c r="D28" i="7"/>
  <c r="D30" i="7"/>
  <c r="D32" i="7"/>
  <c r="D37" i="7"/>
  <c r="D40" i="7"/>
  <c r="D42" i="7"/>
  <c r="D44" i="7"/>
  <c r="D48" i="7"/>
  <c r="D53" i="7"/>
  <c r="D57" i="7"/>
  <c r="D61" i="7"/>
  <c r="D63" i="7"/>
  <c r="D65" i="7"/>
  <c r="D69" i="7"/>
  <c r="D73" i="7"/>
  <c r="D77" i="7"/>
  <c r="D80" i="7"/>
  <c r="D85" i="7"/>
  <c r="D88" i="7"/>
  <c r="D92" i="7"/>
  <c r="D98" i="7"/>
  <c r="D102" i="7"/>
  <c r="D105" i="7"/>
  <c r="D107" i="7"/>
  <c r="D111" i="7"/>
  <c r="AF108" i="6"/>
  <c r="AF114" i="6"/>
  <c r="AF135" i="6"/>
  <c r="AF130" i="6"/>
  <c r="AF125" i="6"/>
  <c r="AF120" i="6"/>
  <c r="AF103" i="6"/>
  <c r="AF98" i="6"/>
  <c r="AF93" i="6"/>
  <c r="AF88" i="6"/>
  <c r="AF83" i="6"/>
  <c r="AF78" i="6"/>
  <c r="AF73" i="6"/>
  <c r="AF68" i="6"/>
  <c r="AF63" i="6"/>
  <c r="AF58" i="6"/>
  <c r="AF53" i="6"/>
  <c r="AF48" i="6"/>
  <c r="AF43" i="6"/>
  <c r="AF38" i="6"/>
  <c r="AF31" i="6"/>
  <c r="W114" i="6"/>
  <c r="AB114" i="6" s="1"/>
  <c r="V114" i="6"/>
  <c r="T114" i="6"/>
  <c r="R114" i="6"/>
  <c r="P114" i="6"/>
  <c r="K114" i="6"/>
  <c r="I114" i="6"/>
  <c r="O114" i="6" s="1"/>
  <c r="G114" i="6"/>
  <c r="E114" i="6"/>
  <c r="W108" i="6"/>
  <c r="AB108" i="6" s="1"/>
  <c r="V108" i="6"/>
  <c r="T108" i="6"/>
  <c r="R108" i="6"/>
  <c r="P108" i="6"/>
  <c r="K108" i="6"/>
  <c r="I108" i="6"/>
  <c r="O108" i="6" s="1"/>
  <c r="G108" i="6"/>
  <c r="E108" i="6"/>
  <c r="W140" i="6"/>
  <c r="V140" i="6"/>
  <c r="V14" i="6" s="1"/>
  <c r="V13" i="6" s="1"/>
  <c r="T140" i="6"/>
  <c r="T14" i="6" s="1"/>
  <c r="T13" i="6" s="1"/>
  <c r="S14" i="6"/>
  <c r="R140" i="6"/>
  <c r="P140" i="6"/>
  <c r="K140" i="6"/>
  <c r="K14" i="6" s="1"/>
  <c r="K13" i="6" s="1"/>
  <c r="I140" i="6"/>
  <c r="G140" i="6"/>
  <c r="G14" i="6" s="1"/>
  <c r="G13" i="6" s="1"/>
  <c r="E140" i="6"/>
  <c r="E14" i="6" s="1"/>
  <c r="E13" i="6" s="1"/>
  <c r="W135" i="6"/>
  <c r="AB135" i="6" s="1"/>
  <c r="V135" i="6"/>
  <c r="T135" i="6"/>
  <c r="R135" i="6"/>
  <c r="P135" i="6"/>
  <c r="K135" i="6"/>
  <c r="I135" i="6"/>
  <c r="O135" i="6" s="1"/>
  <c r="G135" i="6"/>
  <c r="E135" i="6"/>
  <c r="W130" i="6"/>
  <c r="AB130" i="6" s="1"/>
  <c r="V130" i="6"/>
  <c r="T130" i="6"/>
  <c r="R130" i="6"/>
  <c r="AA130" i="6" s="1"/>
  <c r="P130" i="6"/>
  <c r="K130" i="6"/>
  <c r="I130" i="6"/>
  <c r="O130" i="6" s="1"/>
  <c r="G130" i="6"/>
  <c r="E130" i="6"/>
  <c r="W125" i="6"/>
  <c r="AB125" i="6" s="1"/>
  <c r="V125" i="6"/>
  <c r="T125" i="6"/>
  <c r="R125" i="6"/>
  <c r="P125" i="6"/>
  <c r="K125" i="6"/>
  <c r="I125" i="6"/>
  <c r="G125" i="6"/>
  <c r="E125" i="6"/>
  <c r="W120" i="6"/>
  <c r="AB120" i="6" s="1"/>
  <c r="V120" i="6"/>
  <c r="T120" i="6"/>
  <c r="R120" i="6"/>
  <c r="P120" i="6"/>
  <c r="Y120" i="6" s="1"/>
  <c r="K120" i="6"/>
  <c r="I120" i="6"/>
  <c r="O120" i="6" s="1"/>
  <c r="G120" i="6"/>
  <c r="E120" i="6"/>
  <c r="W103" i="6"/>
  <c r="AB103" i="6" s="1"/>
  <c r="V103" i="6"/>
  <c r="T103" i="6"/>
  <c r="R103" i="6"/>
  <c r="P103" i="6"/>
  <c r="K103" i="6"/>
  <c r="I103" i="6"/>
  <c r="O103" i="6" s="1"/>
  <c r="G103" i="6"/>
  <c r="E103" i="6"/>
  <c r="W98" i="6"/>
  <c r="AB98" i="6" s="1"/>
  <c r="V98" i="6"/>
  <c r="T98" i="6"/>
  <c r="R98" i="6"/>
  <c r="P98" i="6"/>
  <c r="K98" i="6"/>
  <c r="I98" i="6"/>
  <c r="G98" i="6"/>
  <c r="E98" i="6"/>
  <c r="W93" i="6"/>
  <c r="AB93" i="6" s="1"/>
  <c r="V93" i="6"/>
  <c r="T93" i="6"/>
  <c r="R93" i="6"/>
  <c r="P93" i="6"/>
  <c r="K93" i="6"/>
  <c r="I93" i="6"/>
  <c r="O93" i="6" s="1"/>
  <c r="G93" i="6"/>
  <c r="E93" i="6"/>
  <c r="W88" i="6"/>
  <c r="AB88" i="6" s="1"/>
  <c r="V88" i="6"/>
  <c r="T88" i="6"/>
  <c r="R88" i="6"/>
  <c r="P88" i="6"/>
  <c r="K88" i="6"/>
  <c r="I88" i="6"/>
  <c r="O88" i="6" s="1"/>
  <c r="G88" i="6"/>
  <c r="E88" i="6"/>
  <c r="W83" i="6"/>
  <c r="AB83" i="6" s="1"/>
  <c r="V83" i="6"/>
  <c r="T83" i="6"/>
  <c r="R83" i="6"/>
  <c r="AA83" i="6" s="1"/>
  <c r="P83" i="6"/>
  <c r="Y83" i="6" s="1"/>
  <c r="K83" i="6"/>
  <c r="I83" i="6"/>
  <c r="O83" i="6" s="1"/>
  <c r="G83" i="6"/>
  <c r="E83" i="6"/>
  <c r="W78" i="6"/>
  <c r="AB78" i="6" s="1"/>
  <c r="V78" i="6"/>
  <c r="T78" i="6"/>
  <c r="R78" i="6"/>
  <c r="P78" i="6"/>
  <c r="K78" i="6"/>
  <c r="I78" i="6"/>
  <c r="G78" i="6"/>
  <c r="E78" i="6"/>
  <c r="W73" i="6"/>
  <c r="AB73" i="6" s="1"/>
  <c r="V73" i="6"/>
  <c r="T73" i="6"/>
  <c r="R73" i="6"/>
  <c r="P73" i="6"/>
  <c r="K73" i="6"/>
  <c r="I73" i="6"/>
  <c r="G73" i="6"/>
  <c r="E73" i="6"/>
  <c r="W68" i="6"/>
  <c r="AB68" i="6" s="1"/>
  <c r="V68" i="6"/>
  <c r="T68" i="6"/>
  <c r="R68" i="6"/>
  <c r="P68" i="6"/>
  <c r="K68" i="6"/>
  <c r="I68" i="6"/>
  <c r="O68" i="6" s="1"/>
  <c r="G68" i="6"/>
  <c r="E68" i="6"/>
  <c r="W63" i="6"/>
  <c r="AB63" i="6" s="1"/>
  <c r="V63" i="6"/>
  <c r="T63" i="6"/>
  <c r="R63" i="6"/>
  <c r="AA63" i="6" s="1"/>
  <c r="P63" i="6"/>
  <c r="K63" i="6"/>
  <c r="I63" i="6"/>
  <c r="O63" i="6" s="1"/>
  <c r="G63" i="6"/>
  <c r="E63" i="6"/>
  <c r="W58" i="6"/>
  <c r="AB58" i="6" s="1"/>
  <c r="V58" i="6"/>
  <c r="T58" i="6"/>
  <c r="R58" i="6"/>
  <c r="P58" i="6"/>
  <c r="K58" i="6"/>
  <c r="I58" i="6"/>
  <c r="G58" i="6"/>
  <c r="E58" i="6"/>
  <c r="W53" i="6"/>
  <c r="AB53" i="6" s="1"/>
  <c r="V53" i="6"/>
  <c r="T53" i="6"/>
  <c r="R53" i="6"/>
  <c r="P53" i="6"/>
  <c r="K53" i="6"/>
  <c r="I53" i="6"/>
  <c r="O53" i="6" s="1"/>
  <c r="G53" i="6"/>
  <c r="E53" i="6"/>
  <c r="W48" i="6"/>
  <c r="AB48" i="6" s="1"/>
  <c r="V48" i="6"/>
  <c r="T48" i="6"/>
  <c r="R48" i="6"/>
  <c r="P48" i="6"/>
  <c r="Y48" i="6" s="1"/>
  <c r="K48" i="6"/>
  <c r="I48" i="6"/>
  <c r="O48" i="6" s="1"/>
  <c r="G48" i="6"/>
  <c r="E48" i="6"/>
  <c r="W43" i="6"/>
  <c r="AB43" i="6" s="1"/>
  <c r="V43" i="6"/>
  <c r="T43" i="6"/>
  <c r="R43" i="6"/>
  <c r="P43" i="6"/>
  <c r="K43" i="6"/>
  <c r="I43" i="6"/>
  <c r="O43" i="6" s="1"/>
  <c r="G43" i="6"/>
  <c r="E43" i="6"/>
  <c r="W38" i="6"/>
  <c r="AB38" i="6" s="1"/>
  <c r="V38" i="6"/>
  <c r="T38" i="6"/>
  <c r="R38" i="6"/>
  <c r="AA38" i="6" s="1"/>
  <c r="P38" i="6"/>
  <c r="K38" i="6"/>
  <c r="I38" i="6"/>
  <c r="O38" i="6" s="1"/>
  <c r="G38" i="6"/>
  <c r="E38" i="6"/>
  <c r="E31" i="6"/>
  <c r="AH114" i="6"/>
  <c r="AH83" i="6"/>
  <c r="AH73" i="6"/>
  <c r="AH63" i="6"/>
  <c r="AH53" i="6"/>
  <c r="AH38" i="6"/>
  <c r="AD34" i="6"/>
  <c r="W17" i="6"/>
  <c r="AB17" i="6" s="1"/>
  <c r="U17" i="6"/>
  <c r="W16" i="6"/>
  <c r="U16" i="6"/>
  <c r="W15" i="6"/>
  <c r="U15" i="6"/>
  <c r="U14" i="6"/>
  <c r="S17" i="6"/>
  <c r="Q17" i="6"/>
  <c r="S16" i="6"/>
  <c r="Q16" i="6"/>
  <c r="S15" i="6"/>
  <c r="Q15" i="6"/>
  <c r="Q14" i="6"/>
  <c r="L16" i="6"/>
  <c r="L15" i="6"/>
  <c r="L14" i="6"/>
  <c r="F14" i="6"/>
  <c r="F15" i="6"/>
  <c r="F16" i="6"/>
  <c r="F17" i="6"/>
  <c r="W31" i="6"/>
  <c r="AB31" i="6" s="1"/>
  <c r="V31" i="6"/>
  <c r="T31" i="6"/>
  <c r="R31" i="6"/>
  <c r="P31" i="6"/>
  <c r="K31" i="6"/>
  <c r="I31" i="6"/>
  <c r="O31" i="6" s="1"/>
  <c r="G31" i="6"/>
  <c r="Q37" i="7" l="1"/>
  <c r="Q92" i="7"/>
  <c r="N36" i="7"/>
  <c r="AA114" i="6"/>
  <c r="L60" i="7"/>
  <c r="AA68" i="6"/>
  <c r="Y125" i="6"/>
  <c r="Q40" i="7"/>
  <c r="Q65" i="7"/>
  <c r="U65" i="7" s="1"/>
  <c r="Q98" i="7"/>
  <c r="Y103" i="6"/>
  <c r="AA103" i="6"/>
  <c r="Y78" i="6"/>
  <c r="AA125" i="6"/>
  <c r="D76" i="7"/>
  <c r="Y114" i="6"/>
  <c r="Y43" i="6"/>
  <c r="AA78" i="6"/>
  <c r="Y135" i="6"/>
  <c r="D68" i="7"/>
  <c r="K19" i="7"/>
  <c r="Q20" i="7"/>
  <c r="Q42" i="7"/>
  <c r="K68" i="7"/>
  <c r="Q68" i="7" s="1"/>
  <c r="Q69" i="7"/>
  <c r="Q102" i="7"/>
  <c r="AA93" i="6"/>
  <c r="AA43" i="6"/>
  <c r="Y88" i="6"/>
  <c r="AE88" i="6" s="1"/>
  <c r="AA135" i="6"/>
  <c r="F60" i="7"/>
  <c r="J60" i="7" s="1"/>
  <c r="P14" i="6"/>
  <c r="Y140" i="6"/>
  <c r="AE140" i="6" s="1"/>
  <c r="R102" i="7"/>
  <c r="Y58" i="6"/>
  <c r="Y68" i="6"/>
  <c r="Y53" i="6"/>
  <c r="R69" i="7"/>
  <c r="Q22" i="7"/>
  <c r="Q44" i="7"/>
  <c r="Q73" i="7"/>
  <c r="U73" i="7" s="1"/>
  <c r="Q105" i="7"/>
  <c r="M87" i="7"/>
  <c r="Y31" i="6"/>
  <c r="AE31" i="6" s="1"/>
  <c r="AA53" i="6"/>
  <c r="Y98" i="6"/>
  <c r="AE98" i="6" s="1"/>
  <c r="Y108" i="6"/>
  <c r="R22" i="7"/>
  <c r="AB16" i="6"/>
  <c r="AA31" i="6"/>
  <c r="AA88" i="6"/>
  <c r="Y63" i="6"/>
  <c r="AA98" i="6"/>
  <c r="AA108" i="6"/>
  <c r="R77" i="7"/>
  <c r="Q26" i="7"/>
  <c r="K47" i="7"/>
  <c r="Q48" i="7"/>
  <c r="U48" i="7" s="1"/>
  <c r="Q77" i="7"/>
  <c r="U77" i="7" s="1"/>
  <c r="Q107" i="7"/>
  <c r="U107" i="7" s="1"/>
  <c r="C33" i="8"/>
  <c r="AA58" i="6"/>
  <c r="L76" i="7"/>
  <c r="AA48" i="6"/>
  <c r="Y93" i="6"/>
  <c r="AA140" i="6"/>
  <c r="R14" i="6"/>
  <c r="Y73" i="6"/>
  <c r="AA120" i="6"/>
  <c r="Q53" i="7"/>
  <c r="Q111" i="7"/>
  <c r="Y38" i="6"/>
  <c r="AA73" i="6"/>
  <c r="Y130" i="6"/>
  <c r="O140" i="6"/>
  <c r="I14" i="6"/>
  <c r="R32" i="7"/>
  <c r="E76" i="7"/>
  <c r="D47" i="7"/>
  <c r="M47" i="7"/>
  <c r="D101" i="7"/>
  <c r="K101" i="7"/>
  <c r="D36" i="7"/>
  <c r="N87" i="7"/>
  <c r="R57" i="7"/>
  <c r="R111" i="7"/>
  <c r="R61" i="7"/>
  <c r="D19" i="7"/>
  <c r="D12" i="7" s="1"/>
  <c r="R65" i="7"/>
  <c r="G47" i="7"/>
  <c r="K60" i="7"/>
  <c r="Q60" i="7" s="1"/>
  <c r="N68" i="7"/>
  <c r="R44" i="7"/>
  <c r="F17" i="13"/>
  <c r="F20" i="13" s="1"/>
  <c r="AD20" i="6"/>
  <c r="AD19" i="6"/>
  <c r="E17" i="13"/>
  <c r="E68" i="7"/>
  <c r="R73" i="7"/>
  <c r="T66" i="7"/>
  <c r="T65" i="7" s="1"/>
  <c r="T60" i="7" s="1"/>
  <c r="F68" i="7"/>
  <c r="J68" i="7" s="1"/>
  <c r="J69" i="7"/>
  <c r="F101" i="7"/>
  <c r="J101" i="7" s="1"/>
  <c r="J102" i="7"/>
  <c r="T45" i="7"/>
  <c r="U44" i="7"/>
  <c r="M60" i="7"/>
  <c r="T22" i="7"/>
  <c r="T19" i="7" s="1"/>
  <c r="T70" i="7"/>
  <c r="T69" i="7" s="1"/>
  <c r="L101" i="7"/>
  <c r="T49" i="7"/>
  <c r="T48" i="7" s="1"/>
  <c r="K76" i="7"/>
  <c r="E87" i="7"/>
  <c r="R88" i="7"/>
  <c r="F76" i="7"/>
  <c r="J76" i="7" s="1"/>
  <c r="J77" i="7"/>
  <c r="T74" i="7"/>
  <c r="T73" i="7" s="1"/>
  <c r="T99" i="7"/>
  <c r="T98" i="7" s="1"/>
  <c r="F47" i="7"/>
  <c r="J47" i="7" s="1"/>
  <c r="J53" i="7"/>
  <c r="M19" i="7"/>
  <c r="M12" i="7" s="1"/>
  <c r="R42" i="7"/>
  <c r="R98" i="7"/>
  <c r="T54" i="7"/>
  <c r="T53" i="7" s="1"/>
  <c r="T78" i="7"/>
  <c r="T77" i="7" s="1"/>
  <c r="T103" i="7"/>
  <c r="T102" i="7" s="1"/>
  <c r="G76" i="7"/>
  <c r="K36" i="7"/>
  <c r="K87" i="7"/>
  <c r="D60" i="7"/>
  <c r="E47" i="7"/>
  <c r="R53" i="7"/>
  <c r="T33" i="7"/>
  <c r="T32" i="7" s="1"/>
  <c r="T81" i="7"/>
  <c r="T80" i="7" s="1"/>
  <c r="M101" i="7"/>
  <c r="F36" i="7"/>
  <c r="J36" i="7" s="1"/>
  <c r="J37" i="7"/>
  <c r="G60" i="7"/>
  <c r="F87" i="7"/>
  <c r="J87" i="7" s="1"/>
  <c r="J88" i="7"/>
  <c r="T58" i="7"/>
  <c r="T57" i="7" s="1"/>
  <c r="U57" i="7"/>
  <c r="G87" i="7"/>
  <c r="T38" i="7"/>
  <c r="T37" i="7" s="1"/>
  <c r="M76" i="7"/>
  <c r="T89" i="7"/>
  <c r="T88" i="7" s="1"/>
  <c r="R107" i="7"/>
  <c r="E101" i="7"/>
  <c r="T109" i="7"/>
  <c r="T107" i="7" s="1"/>
  <c r="AD31" i="6"/>
  <c r="AD14" i="6"/>
  <c r="AD13" i="6" s="1"/>
  <c r="L87" i="7"/>
  <c r="D87" i="7"/>
  <c r="T93" i="7"/>
  <c r="T92" i="7" s="1"/>
  <c r="R105" i="7"/>
  <c r="N101" i="7"/>
  <c r="F19" i="7"/>
  <c r="U22" i="7"/>
  <c r="M36" i="7"/>
  <c r="E60" i="7"/>
  <c r="N60" i="7"/>
  <c r="R20" i="7"/>
  <c r="R63" i="7"/>
  <c r="R26" i="7"/>
  <c r="E19" i="7"/>
  <c r="R28" i="7"/>
  <c r="R30" i="7"/>
  <c r="G36" i="7"/>
  <c r="E36" i="7"/>
  <c r="R36" i="7" s="1"/>
  <c r="L19" i="7"/>
  <c r="R40" i="7"/>
  <c r="AH93" i="6"/>
  <c r="AH103" i="6"/>
  <c r="AH108" i="6"/>
  <c r="AB15" i="6"/>
  <c r="AH31" i="6"/>
  <c r="AH43" i="6"/>
  <c r="AH125" i="6"/>
  <c r="AH135" i="6"/>
  <c r="F13" i="6"/>
  <c r="AE48" i="6"/>
  <c r="AH48" i="6"/>
  <c r="AH58" i="6"/>
  <c r="AH68" i="6"/>
  <c r="AH78" i="6"/>
  <c r="AH88" i="6"/>
  <c r="AH98" i="6"/>
  <c r="AH120" i="6"/>
  <c r="AH130" i="6"/>
  <c r="AH140" i="6"/>
  <c r="AE120" i="6"/>
  <c r="AF13" i="6"/>
  <c r="AE43" i="6"/>
  <c r="AE93" i="6"/>
  <c r="AE125" i="6"/>
  <c r="AE135" i="6"/>
  <c r="AE68" i="6"/>
  <c r="AE78" i="6"/>
  <c r="AE15" i="6"/>
  <c r="AE53" i="6"/>
  <c r="AE108" i="6"/>
  <c r="AE130" i="6"/>
  <c r="W14" i="6"/>
  <c r="W13" i="6" s="1"/>
  <c r="AB140" i="6"/>
  <c r="O98" i="6"/>
  <c r="O125" i="6"/>
  <c r="AE73" i="6"/>
  <c r="AE38" i="6"/>
  <c r="AE63" i="6"/>
  <c r="AE83" i="6"/>
  <c r="O78" i="6"/>
  <c r="O73" i="6"/>
  <c r="AE16" i="6"/>
  <c r="Q13" i="6"/>
  <c r="AE114" i="6"/>
  <c r="AE58" i="6"/>
  <c r="AE103" i="6"/>
  <c r="O58" i="6"/>
  <c r="S13" i="6"/>
  <c r="Z15" i="6"/>
  <c r="Z16" i="6"/>
  <c r="Z17" i="6"/>
  <c r="L13" i="6"/>
  <c r="U13" i="6"/>
  <c r="Z14" i="6"/>
  <c r="D20" i="14"/>
  <c r="D23" i="14"/>
  <c r="D19" i="14"/>
  <c r="D22" i="14"/>
  <c r="D24" i="14"/>
  <c r="D21" i="14"/>
  <c r="L20" i="8"/>
  <c r="M58" i="8"/>
  <c r="K59" i="8"/>
  <c r="K70" i="8" s="1"/>
  <c r="L58" i="8"/>
  <c r="M32" i="8"/>
  <c r="O33" i="8"/>
  <c r="L32" i="8"/>
  <c r="D59" i="8"/>
  <c r="D33" i="8"/>
  <c r="E59" i="8"/>
  <c r="E33" i="8"/>
  <c r="I33" i="8" s="1"/>
  <c r="L46" i="8"/>
  <c r="F59" i="8"/>
  <c r="F70" i="8" s="1"/>
  <c r="F33" i="8"/>
  <c r="M46" i="8"/>
  <c r="M20" i="8"/>
  <c r="J33" i="8"/>
  <c r="K33" i="8"/>
  <c r="H58" i="8"/>
  <c r="I48" i="8" s="1"/>
  <c r="H32" i="8"/>
  <c r="I22" i="8" s="1"/>
  <c r="H46" i="8"/>
  <c r="I20" i="8"/>
  <c r="H20" i="8"/>
  <c r="I10" i="8" s="1"/>
  <c r="I36" i="8"/>
  <c r="N19" i="7"/>
  <c r="U98" i="7"/>
  <c r="U69" i="7"/>
  <c r="L47" i="7"/>
  <c r="L68" i="7"/>
  <c r="U80" i="7"/>
  <c r="U32" i="7"/>
  <c r="U92" i="7"/>
  <c r="U37" i="7"/>
  <c r="U53" i="7"/>
  <c r="U102" i="7"/>
  <c r="U88" i="7"/>
  <c r="G101" i="7"/>
  <c r="G19" i="7"/>
  <c r="S36" i="7"/>
  <c r="M33" i="8" l="1"/>
  <c r="Y14" i="6"/>
  <c r="P13" i="6"/>
  <c r="M59" i="8"/>
  <c r="I13" i="6"/>
  <c r="O13" i="6" s="1"/>
  <c r="O14" i="6"/>
  <c r="T44" i="7"/>
  <c r="Q47" i="7"/>
  <c r="U47" i="7" s="1"/>
  <c r="R47" i="7"/>
  <c r="K12" i="7"/>
  <c r="Q19" i="7"/>
  <c r="L33" i="8"/>
  <c r="U60" i="7"/>
  <c r="E70" i="8"/>
  <c r="I59" i="8"/>
  <c r="H59" i="8"/>
  <c r="Q87" i="7"/>
  <c r="AA14" i="6"/>
  <c r="AA13" i="6" s="1"/>
  <c r="R13" i="6"/>
  <c r="Q36" i="7"/>
  <c r="R68" i="7"/>
  <c r="Q101" i="7"/>
  <c r="U101" i="7" s="1"/>
  <c r="L59" i="8"/>
  <c r="J19" i="7"/>
  <c r="F12" i="7"/>
  <c r="J12" i="7" s="1"/>
  <c r="R76" i="7"/>
  <c r="Q76" i="7"/>
  <c r="U87" i="7"/>
  <c r="T87" i="7"/>
  <c r="T36" i="7"/>
  <c r="U76" i="7"/>
  <c r="K17" i="13"/>
  <c r="E20" i="13"/>
  <c r="T101" i="7"/>
  <c r="R87" i="7"/>
  <c r="L12" i="7"/>
  <c r="T76" i="7"/>
  <c r="T47" i="7"/>
  <c r="U36" i="7"/>
  <c r="T68" i="7"/>
  <c r="U68" i="7"/>
  <c r="R101" i="7"/>
  <c r="R60" i="7"/>
  <c r="G12" i="7"/>
  <c r="E12" i="7"/>
  <c r="R19" i="7"/>
  <c r="R12" i="7" s="1"/>
  <c r="N12" i="7"/>
  <c r="Z13" i="6"/>
  <c r="AB14" i="6"/>
  <c r="AB13" i="6" s="1"/>
  <c r="H33" i="8"/>
  <c r="D16" i="5"/>
  <c r="D70" i="5"/>
  <c r="D105" i="5"/>
  <c r="D92" i="5"/>
  <c r="D34" i="5"/>
  <c r="D87" i="5"/>
  <c r="D65" i="5"/>
  <c r="D58" i="5"/>
  <c r="D95" i="5"/>
  <c r="S12" i="7"/>
  <c r="Q12" i="7" l="1"/>
  <c r="AH14" i="6"/>
  <c r="Y13" i="6"/>
  <c r="AH13" i="6" s="1"/>
  <c r="T12" i="7"/>
  <c r="U19" i="7"/>
  <c r="AE13" i="6"/>
  <c r="AE14" i="6"/>
  <c r="D93" i="5"/>
  <c r="D104" i="5"/>
  <c r="D102" i="5"/>
  <c r="D101" i="5"/>
  <c r="D98" i="5"/>
  <c r="D97" i="5"/>
  <c r="D94" i="5"/>
  <c r="D91" i="5"/>
  <c r="D90" i="5"/>
  <c r="D89" i="5"/>
  <c r="D85" i="5"/>
  <c r="D84" i="5"/>
  <c r="D56" i="5"/>
  <c r="D55" i="5"/>
  <c r="D82" i="5"/>
  <c r="D81" i="5"/>
  <c r="D80" i="5"/>
  <c r="D79" i="5"/>
  <c r="D78" i="5"/>
  <c r="D77" i="5"/>
  <c r="D75" i="5"/>
  <c r="D74" i="5"/>
  <c r="D73" i="5"/>
  <c r="D72" i="5"/>
  <c r="D68" i="5"/>
  <c r="D67" i="5"/>
  <c r="D63" i="5"/>
  <c r="D62" i="5"/>
  <c r="D53" i="5"/>
  <c r="D52" i="5"/>
  <c r="D51" i="5"/>
  <c r="D50" i="5"/>
  <c r="D49" i="5"/>
  <c r="D48" i="5"/>
  <c r="D46" i="5"/>
  <c r="D45" i="5"/>
  <c r="D44" i="5"/>
  <c r="D43" i="5"/>
  <c r="D40" i="5"/>
  <c r="D39" i="5"/>
  <c r="D37" i="5"/>
  <c r="D36" i="5"/>
  <c r="D32" i="5"/>
  <c r="D31" i="5"/>
  <c r="D15" i="5"/>
  <c r="D14" i="5"/>
  <c r="D13" i="5"/>
  <c r="C12" i="5"/>
  <c r="D53" i="12" s="1"/>
  <c r="U12" i="7" l="1"/>
  <c r="D12" i="5"/>
  <c r="C76" i="5" l="1"/>
  <c r="D76" i="5" s="1"/>
  <c r="C71" i="5"/>
  <c r="D71" i="5" s="1"/>
  <c r="C66" i="5"/>
  <c r="C61" i="5"/>
  <c r="C47" i="5"/>
  <c r="C42" i="5"/>
  <c r="C38" i="5"/>
  <c r="C35" i="5" s="1"/>
  <c r="C30" i="5"/>
  <c r="C63" i="9" s="1"/>
  <c r="D63" i="9" s="1"/>
  <c r="C23" i="5"/>
  <c r="D23" i="5" s="1"/>
  <c r="C18" i="5"/>
  <c r="D18" i="5" s="1"/>
  <c r="D35" i="5" l="1"/>
  <c r="D42" i="5"/>
  <c r="D47" i="5"/>
  <c r="D30" i="5"/>
  <c r="C60" i="5"/>
  <c r="D60" i="5" s="1"/>
  <c r="C53" i="11" l="1"/>
  <c r="D53" i="11" s="1"/>
  <c r="C99" i="3"/>
  <c r="C98" i="3"/>
  <c r="C97" i="3" s="1"/>
  <c r="C87" i="3"/>
  <c r="C88" i="3"/>
  <c r="C89" i="3"/>
  <c r="C90" i="3"/>
  <c r="C91" i="3"/>
  <c r="C92" i="3"/>
  <c r="C93" i="3"/>
  <c r="C94" i="3"/>
  <c r="C95" i="3"/>
  <c r="C86" i="3"/>
  <c r="C85" i="3" s="1"/>
  <c r="C65" i="3"/>
  <c r="C66" i="3"/>
  <c r="C67" i="3"/>
  <c r="C68" i="3"/>
  <c r="C69" i="3"/>
  <c r="C70" i="3"/>
  <c r="C71" i="3"/>
  <c r="C72" i="3"/>
  <c r="C73" i="3"/>
  <c r="C74" i="3"/>
  <c r="C75" i="3"/>
  <c r="C76" i="3"/>
  <c r="C77" i="3"/>
  <c r="C78" i="3"/>
  <c r="C79" i="3"/>
  <c r="C80" i="3"/>
  <c r="C81" i="3"/>
  <c r="C82" i="3"/>
  <c r="C83" i="3"/>
  <c r="C84" i="3"/>
  <c r="C64" i="3"/>
  <c r="C60" i="3"/>
  <c r="C61" i="3"/>
  <c r="C62" i="3"/>
  <c r="C59" i="3"/>
  <c r="C58" i="3" s="1"/>
  <c r="C57" i="3"/>
  <c r="C56" i="3"/>
  <c r="C55" i="3" s="1"/>
  <c r="C50" i="3"/>
  <c r="C51" i="3"/>
  <c r="C52" i="3"/>
  <c r="C53" i="3"/>
  <c r="C54" i="3"/>
  <c r="C49" i="3"/>
  <c r="C48" i="3" s="1"/>
  <c r="C39" i="3"/>
  <c r="C40" i="3"/>
  <c r="C41" i="3"/>
  <c r="C42" i="3"/>
  <c r="C43" i="3"/>
  <c r="C44" i="3"/>
  <c r="C45" i="3"/>
  <c r="C46" i="3"/>
  <c r="C38" i="3"/>
  <c r="C37" i="3"/>
  <c r="C32" i="3"/>
  <c r="C33" i="3"/>
  <c r="C34" i="3"/>
  <c r="C35" i="3"/>
  <c r="C31" i="3"/>
  <c r="C30" i="3" s="1"/>
  <c r="C27" i="3"/>
  <c r="C28" i="3"/>
  <c r="C26" i="3"/>
  <c r="C20" i="3"/>
  <c r="C21" i="3"/>
  <c r="C22" i="3"/>
  <c r="C23" i="3"/>
  <c r="C18" i="3" s="1"/>
  <c r="C19" i="3"/>
  <c r="C19" i="16" l="1"/>
  <c r="C25" i="3"/>
  <c r="C36" i="3"/>
  <c r="C63" i="3"/>
  <c r="C47" i="3" s="1"/>
  <c r="C18" i="16"/>
  <c r="C14" i="3"/>
  <c r="C13" i="3"/>
  <c r="C12" i="3" s="1"/>
  <c r="G66" i="2"/>
  <c r="G65" i="2"/>
  <c r="G62" i="2"/>
  <c r="G61" i="2"/>
  <c r="G70" i="2"/>
  <c r="C31" i="15" s="1"/>
  <c r="G71" i="2"/>
  <c r="G72" i="2"/>
  <c r="G73" i="2"/>
  <c r="C34" i="15" s="1"/>
  <c r="G74" i="2"/>
  <c r="C35" i="15" s="1"/>
  <c r="G26" i="2"/>
  <c r="G27" i="2"/>
  <c r="G29" i="2"/>
  <c r="G30" i="2"/>
  <c r="G32" i="2"/>
  <c r="G33" i="2"/>
  <c r="G35" i="2"/>
  <c r="G36" i="2"/>
  <c r="G16" i="2"/>
  <c r="G17" i="2"/>
  <c r="G18" i="2"/>
  <c r="G19" i="2"/>
  <c r="G20" i="2"/>
  <c r="G21" i="2"/>
  <c r="G15" i="2"/>
  <c r="C55" i="2"/>
  <c r="C56" i="2"/>
  <c r="C57" i="2"/>
  <c r="C51" i="2"/>
  <c r="G19" i="14" s="1"/>
  <c r="H19" i="14" s="1"/>
  <c r="C52" i="2"/>
  <c r="C50" i="2"/>
  <c r="C49" i="2"/>
  <c r="C41" i="2"/>
  <c r="C15" i="15" s="1"/>
  <c r="C32" i="15" l="1"/>
  <c r="D24" i="18"/>
  <c r="J22" i="13"/>
  <c r="J25" i="13" s="1"/>
  <c r="J26" i="13" s="1"/>
  <c r="P67" i="8"/>
  <c r="I22" i="13"/>
  <c r="I25" i="13" s="1"/>
  <c r="I26" i="13" s="1"/>
  <c r="P66" i="8"/>
  <c r="H22" i="13"/>
  <c r="H25" i="13" s="1"/>
  <c r="H26" i="13" s="1"/>
  <c r="P65" i="8"/>
  <c r="G22" i="13"/>
  <c r="G25" i="13" s="1"/>
  <c r="G26" i="13" s="1"/>
  <c r="P64" i="8"/>
  <c r="F22" i="13"/>
  <c r="F25" i="13" s="1"/>
  <c r="F26" i="13" s="1"/>
  <c r="P63" i="8"/>
  <c r="E22" i="13"/>
  <c r="E25" i="13" s="1"/>
  <c r="E26" i="13" s="1"/>
  <c r="P62" i="8"/>
  <c r="D22" i="13"/>
  <c r="D25" i="13" s="1"/>
  <c r="D26" i="13" s="1"/>
  <c r="P61" i="8"/>
  <c r="C33" i="15"/>
  <c r="D23" i="18"/>
  <c r="G28" i="2"/>
  <c r="G25" i="2"/>
  <c r="L23" i="13" s="1"/>
  <c r="C13" i="16"/>
  <c r="C12" i="16"/>
  <c r="G60" i="2"/>
  <c r="E18" i="12" s="1"/>
  <c r="G14" i="2"/>
  <c r="G31" i="2"/>
  <c r="C21" i="16"/>
  <c r="E13" i="12"/>
  <c r="E29" i="12"/>
  <c r="E45" i="12"/>
  <c r="C19" i="15"/>
  <c r="G64" i="2"/>
  <c r="G34" i="2"/>
  <c r="C18" i="15"/>
  <c r="E32" i="12" l="1"/>
  <c r="E46" i="12"/>
  <c r="E15" i="12"/>
  <c r="G24" i="2"/>
  <c r="E30" i="12"/>
  <c r="E14" i="12"/>
  <c r="C15" i="17"/>
  <c r="P59" i="8"/>
  <c r="E25" i="12"/>
  <c r="E40" i="12"/>
  <c r="E27" i="12"/>
  <c r="E24" i="12"/>
  <c r="E44" i="12"/>
  <c r="E39" i="12"/>
  <c r="E23" i="12"/>
  <c r="E11" i="12"/>
  <c r="E38" i="12"/>
  <c r="E36" i="12"/>
  <c r="E28" i="12"/>
  <c r="E20" i="12"/>
  <c r="E42" i="12"/>
  <c r="E35" i="12"/>
  <c r="E19" i="12"/>
  <c r="E26" i="12"/>
  <c r="E17" i="12"/>
  <c r="E50" i="12"/>
  <c r="E12" i="12"/>
  <c r="E48" i="12"/>
  <c r="E34" i="12"/>
  <c r="E41" i="12"/>
  <c r="C28" i="15"/>
  <c r="E53" i="12"/>
  <c r="E49" i="12"/>
  <c r="C103" i="3"/>
  <c r="D23" i="3" s="1"/>
  <c r="C14" i="16"/>
  <c r="E33" i="12"/>
  <c r="C16" i="16"/>
  <c r="E16" i="12"/>
  <c r="E47" i="12"/>
  <c r="E22" i="12"/>
  <c r="E37" i="12"/>
  <c r="E43" i="12"/>
  <c r="E21" i="12"/>
  <c r="E31" i="12"/>
  <c r="E51" i="12" l="1"/>
  <c r="E52" i="12"/>
  <c r="C51" i="15" s="1"/>
  <c r="C52" i="15" s="1"/>
  <c r="D65" i="3"/>
  <c r="D20" i="3"/>
  <c r="D97" i="3"/>
  <c r="D92" i="3"/>
  <c r="D73" i="3"/>
  <c r="D94" i="3"/>
  <c r="D79" i="3"/>
  <c r="D84" i="3"/>
  <c r="D62" i="3"/>
  <c r="D60" i="3"/>
  <c r="D26" i="3"/>
  <c r="D18" i="3"/>
  <c r="D78" i="3"/>
  <c r="D27" i="3"/>
  <c r="D91" i="3"/>
  <c r="D64" i="3"/>
  <c r="D54" i="3"/>
  <c r="D85" i="3"/>
  <c r="D52" i="3"/>
  <c r="D50" i="3"/>
  <c r="D47" i="3"/>
  <c r="D19" i="3"/>
  <c r="D83" i="3"/>
  <c r="D82" i="3"/>
  <c r="D58" i="3"/>
  <c r="D67" i="3"/>
  <c r="D56" i="3"/>
  <c r="D81" i="3"/>
  <c r="D70" i="3"/>
  <c r="D69" i="3"/>
  <c r="D22" i="3"/>
  <c r="D63" i="3"/>
  <c r="D86" i="3"/>
  <c r="D28" i="3"/>
  <c r="D87" i="3"/>
  <c r="D93" i="3"/>
  <c r="D49" i="3"/>
  <c r="D71" i="3"/>
  <c r="D74" i="3"/>
  <c r="D59" i="3"/>
  <c r="D90" i="3"/>
  <c r="D99" i="3"/>
  <c r="D77" i="3"/>
  <c r="D57" i="3"/>
  <c r="D68" i="3"/>
  <c r="D21" i="3"/>
  <c r="D48" i="3"/>
  <c r="D76" i="3"/>
  <c r="D51" i="3"/>
  <c r="D89" i="3"/>
  <c r="D53" i="3"/>
  <c r="D61" i="3"/>
  <c r="D55" i="3"/>
  <c r="D95" i="3"/>
  <c r="D72" i="3"/>
  <c r="D25" i="3"/>
  <c r="D66" i="3"/>
  <c r="D80" i="3"/>
  <c r="D88" i="3"/>
  <c r="D75" i="3"/>
  <c r="D98" i="3"/>
  <c r="D20" i="18"/>
  <c r="E20" i="18" s="1"/>
  <c r="C14" i="13"/>
  <c r="K14" i="13" s="1"/>
  <c r="L14" i="13" s="1"/>
  <c r="C48" i="2" l="1"/>
  <c r="C17" i="15" s="1"/>
  <c r="C54" i="2"/>
  <c r="G37" i="2" l="1"/>
  <c r="G23" i="2" s="1"/>
  <c r="C15" i="3"/>
  <c r="C16" i="3"/>
  <c r="C17" i="3"/>
  <c r="C11" i="3" s="1"/>
  <c r="C24" i="3" s="1"/>
  <c r="C29" i="3" s="1"/>
  <c r="C96" i="3" s="1"/>
  <c r="G67" i="2"/>
  <c r="G68" i="2"/>
  <c r="G56" i="2"/>
  <c r="G57" i="2"/>
  <c r="G58" i="2"/>
  <c r="G22" i="2"/>
  <c r="G13" i="2"/>
  <c r="G43" i="2"/>
  <c r="G39" i="2"/>
  <c r="G40" i="2"/>
  <c r="G41" i="2"/>
  <c r="G42" i="2"/>
  <c r="G46" i="2"/>
  <c r="G47" i="2"/>
  <c r="G48" i="2"/>
  <c r="G49" i="2"/>
  <c r="G51" i="2"/>
  <c r="G52" i="2"/>
  <c r="G53" i="2"/>
  <c r="G54" i="2"/>
  <c r="C53" i="2"/>
  <c r="G50" i="2" l="1"/>
  <c r="C14" i="17"/>
  <c r="C13" i="17" s="1"/>
  <c r="P33" i="8"/>
  <c r="G55" i="2"/>
  <c r="C22" i="13"/>
  <c r="C25" i="13" s="1"/>
  <c r="G12" i="2"/>
  <c r="C11" i="16"/>
  <c r="C10" i="16" s="1"/>
  <c r="C102" i="3"/>
  <c r="L24" i="13"/>
  <c r="C24" i="15"/>
  <c r="G45" i="2"/>
  <c r="G44" i="2" s="1"/>
  <c r="C26" i="15" s="1"/>
  <c r="G63" i="2"/>
  <c r="C29" i="15" s="1"/>
  <c r="G11" i="2"/>
  <c r="C22" i="15" s="1"/>
  <c r="G38" i="2"/>
  <c r="C25" i="15" s="1"/>
  <c r="H223" i="1"/>
  <c r="H222" i="1" l="1"/>
  <c r="H218" i="1"/>
  <c r="C23" i="15"/>
  <c r="K28" i="11"/>
  <c r="G10" i="2"/>
  <c r="K24" i="11"/>
  <c r="K40" i="11"/>
  <c r="K25" i="11"/>
  <c r="K41" i="11"/>
  <c r="K26" i="11"/>
  <c r="K42" i="11"/>
  <c r="K27" i="11"/>
  <c r="K43" i="11"/>
  <c r="K12" i="11"/>
  <c r="K29" i="11"/>
  <c r="K45" i="11"/>
  <c r="M46" i="11"/>
  <c r="K30" i="11"/>
  <c r="M45" i="11"/>
  <c r="K15" i="11"/>
  <c r="K31" i="11"/>
  <c r="K47" i="11"/>
  <c r="M42" i="11"/>
  <c r="K18" i="11"/>
  <c r="K50" i="11"/>
  <c r="M14" i="11"/>
  <c r="K37" i="11"/>
  <c r="M13" i="11"/>
  <c r="K38" i="11"/>
  <c r="K39" i="11"/>
  <c r="M20" i="11"/>
  <c r="K44" i="11"/>
  <c r="K16" i="11"/>
  <c r="K32" i="11"/>
  <c r="K48" i="11"/>
  <c r="M39" i="11"/>
  <c r="K17" i="11"/>
  <c r="K33" i="11"/>
  <c r="K49" i="11"/>
  <c r="M29" i="11"/>
  <c r="K34" i="11"/>
  <c r="M18" i="11"/>
  <c r="K21" i="11"/>
  <c r="K22" i="11"/>
  <c r="M34" i="11"/>
  <c r="K23" i="11"/>
  <c r="K13" i="11"/>
  <c r="K14" i="11"/>
  <c r="K46" i="11"/>
  <c r="K19" i="11"/>
  <c r="K35" i="11"/>
  <c r="K51" i="11"/>
  <c r="M15" i="11"/>
  <c r="K20" i="11"/>
  <c r="K36" i="11"/>
  <c r="K11" i="11"/>
  <c r="K52" i="11" s="1"/>
  <c r="M27" i="11"/>
  <c r="M38" i="11"/>
  <c r="M26" i="11"/>
  <c r="M22" i="11"/>
  <c r="M21" i="11"/>
  <c r="M36" i="11"/>
  <c r="M35" i="11"/>
  <c r="M19" i="11"/>
  <c r="M44" i="11"/>
  <c r="M49" i="11"/>
  <c r="M12" i="11"/>
  <c r="M33" i="11"/>
  <c r="M43" i="11"/>
  <c r="M17" i="11"/>
  <c r="M25" i="11"/>
  <c r="M40" i="11"/>
  <c r="M24" i="11"/>
  <c r="M23" i="11"/>
  <c r="M31" i="11"/>
  <c r="M28" i="11"/>
  <c r="M41" i="11"/>
  <c r="M37" i="11"/>
  <c r="M48" i="11"/>
  <c r="M16" i="11"/>
  <c r="M50" i="11"/>
  <c r="M11" i="11"/>
  <c r="M52" i="11" s="1"/>
  <c r="M32" i="11"/>
  <c r="M47" i="11"/>
  <c r="M30" i="11"/>
  <c r="K22" i="13"/>
  <c r="K25" i="13" s="1"/>
  <c r="H221" i="1"/>
  <c r="D11" i="3"/>
  <c r="C47" i="2"/>
  <c r="C46" i="2"/>
  <c r="C44" i="2"/>
  <c r="C42" i="2"/>
  <c r="C40" i="2"/>
  <c r="G26" i="14"/>
  <c r="H26" i="14" s="1"/>
  <c r="C32" i="2" l="1"/>
  <c r="C10" i="2" s="1"/>
  <c r="G76" i="2"/>
  <c r="G75" i="2" s="1"/>
  <c r="G69" i="2" s="1"/>
  <c r="C24" i="18" s="1"/>
  <c r="E24" i="18" s="1"/>
  <c r="D12" i="3"/>
  <c r="D42" i="3"/>
  <c r="D14" i="3"/>
  <c r="D32" i="3"/>
  <c r="D15" i="3"/>
  <c r="D40" i="3"/>
  <c r="D13" i="3"/>
  <c r="D39" i="3"/>
  <c r="D17" i="3"/>
  <c r="C104" i="3"/>
  <c r="E104" i="3" s="1"/>
  <c r="D38" i="3"/>
  <c r="D45" i="3"/>
  <c r="D46" i="3"/>
  <c r="D37" i="3"/>
  <c r="D33" i="3"/>
  <c r="D36" i="3"/>
  <c r="D30" i="3"/>
  <c r="D35" i="3"/>
  <c r="D43" i="3"/>
  <c r="D44" i="3"/>
  <c r="D31" i="3"/>
  <c r="D34" i="3"/>
  <c r="D41" i="3"/>
  <c r="D16" i="3"/>
  <c r="D24" i="3"/>
  <c r="C45" i="2"/>
  <c r="C12" i="14"/>
  <c r="C13" i="14"/>
  <c r="C15" i="14"/>
  <c r="C16" i="14"/>
  <c r="G12" i="14"/>
  <c r="D11" i="18" s="1"/>
  <c r="L13" i="13"/>
  <c r="L15" i="13"/>
  <c r="L16" i="13"/>
  <c r="C43" i="2" l="1"/>
  <c r="C20" i="15" s="1"/>
  <c r="C36" i="15"/>
  <c r="C30" i="15" s="1"/>
  <c r="C60" i="15" s="1"/>
  <c r="C100" i="3"/>
  <c r="G59" i="2"/>
  <c r="P30" i="10" s="1"/>
  <c r="C23" i="18"/>
  <c r="E23" i="18" s="1"/>
  <c r="P28" i="10"/>
  <c r="P44" i="10"/>
  <c r="P26" i="10"/>
  <c r="P13" i="10"/>
  <c r="P16" i="10"/>
  <c r="F12" i="14"/>
  <c r="F15" i="14"/>
  <c r="F16" i="14"/>
  <c r="F13" i="14"/>
  <c r="D29" i="3"/>
  <c r="C12" i="13"/>
  <c r="K12" i="13" s="1"/>
  <c r="L12" i="13" s="1"/>
  <c r="C17" i="14"/>
  <c r="P12" i="10" l="1"/>
  <c r="P43" i="10"/>
  <c r="P27" i="10"/>
  <c r="C27" i="15"/>
  <c r="C21" i="15" s="1"/>
  <c r="P11" i="10"/>
  <c r="P10" i="10"/>
  <c r="C63" i="15"/>
  <c r="P49" i="10"/>
  <c r="P40" i="10"/>
  <c r="P37" i="10"/>
  <c r="P21" i="10"/>
  <c r="P35" i="10"/>
  <c r="P33" i="10"/>
  <c r="P36" i="10"/>
  <c r="P20" i="10"/>
  <c r="P17" i="10"/>
  <c r="P41" i="10"/>
  <c r="P48" i="10"/>
  <c r="P32" i="10"/>
  <c r="P31" i="10"/>
  <c r="P25" i="10"/>
  <c r="P39" i="10"/>
  <c r="P22" i="10"/>
  <c r="P15" i="10"/>
  <c r="P24" i="10"/>
  <c r="P47" i="10"/>
  <c r="P23" i="10"/>
  <c r="P38" i="10"/>
  <c r="P14" i="10"/>
  <c r="P34" i="10"/>
  <c r="P46" i="10"/>
  <c r="P42" i="10"/>
  <c r="C11" i="17"/>
  <c r="C10" i="17" s="1"/>
  <c r="C18" i="17" s="1"/>
  <c r="C11" i="13"/>
  <c r="Q22" i="9"/>
  <c r="O52" i="9"/>
  <c r="Q54" i="9"/>
  <c r="O57" i="9"/>
  <c r="O51" i="9"/>
  <c r="O53" i="9"/>
  <c r="O55" i="9"/>
  <c r="O59" i="9"/>
  <c r="O54" i="9"/>
  <c r="O58" i="9"/>
  <c r="O60" i="9"/>
  <c r="O56" i="9"/>
  <c r="Q51" i="9"/>
  <c r="Q53" i="9"/>
  <c r="Q57" i="9"/>
  <c r="Q52" i="9"/>
  <c r="Q56" i="9"/>
  <c r="Q55" i="9"/>
  <c r="Q58" i="9"/>
  <c r="Q59" i="9"/>
  <c r="Q60" i="9"/>
  <c r="Q36" i="9"/>
  <c r="Q40" i="9"/>
  <c r="N34" i="10"/>
  <c r="O12" i="9"/>
  <c r="N40" i="10"/>
  <c r="N27" i="10"/>
  <c r="N14" i="10"/>
  <c r="O35" i="9"/>
  <c r="N20" i="10"/>
  <c r="Q45" i="9"/>
  <c r="Q46" i="9"/>
  <c r="Q11" i="9"/>
  <c r="Q14" i="9"/>
  <c r="N10" i="10"/>
  <c r="O28" i="9"/>
  <c r="O15" i="9"/>
  <c r="N43" i="10"/>
  <c r="N30" i="10"/>
  <c r="O45" i="9"/>
  <c r="N39" i="10"/>
  <c r="N36" i="10"/>
  <c r="Q30" i="9"/>
  <c r="Q29" i="9"/>
  <c r="Q33" i="9"/>
  <c r="Q26" i="9"/>
  <c r="O25" i="9"/>
  <c r="O44" i="9"/>
  <c r="O31" i="9"/>
  <c r="O18" i="9"/>
  <c r="N46" i="10"/>
  <c r="N15" i="10"/>
  <c r="N31" i="10"/>
  <c r="O19" i="9"/>
  <c r="O48" i="9"/>
  <c r="O38" i="9"/>
  <c r="Q12" i="9"/>
  <c r="N13" i="10"/>
  <c r="N21" i="10"/>
  <c r="Q42" i="9"/>
  <c r="Q50" i="9"/>
  <c r="Q43" i="9"/>
  <c r="O41" i="9"/>
  <c r="O23" i="9"/>
  <c r="O47" i="9"/>
  <c r="O34" i="9"/>
  <c r="O21" i="9"/>
  <c r="N47" i="10"/>
  <c r="O46" i="9"/>
  <c r="O20" i="9"/>
  <c r="N11" i="10"/>
  <c r="Q19" i="9"/>
  <c r="Q25" i="9"/>
  <c r="Q13" i="9"/>
  <c r="O39" i="9"/>
  <c r="N22" i="10"/>
  <c r="N32" i="10"/>
  <c r="O50" i="9"/>
  <c r="O37" i="9"/>
  <c r="N26" i="10"/>
  <c r="O43" i="9"/>
  <c r="Q47" i="9"/>
  <c r="Q49" i="9"/>
  <c r="Q15" i="9"/>
  <c r="N19" i="10"/>
  <c r="N38" i="10"/>
  <c r="N25" i="10"/>
  <c r="N12" i="10"/>
  <c r="O27" i="9"/>
  <c r="Q48" i="9"/>
  <c r="Q35" i="9"/>
  <c r="Q18" i="9"/>
  <c r="N35" i="10"/>
  <c r="O13" i="9"/>
  <c r="N41" i="10"/>
  <c r="N28" i="10"/>
  <c r="O22" i="9"/>
  <c r="N23" i="10"/>
  <c r="N17" i="10"/>
  <c r="N29" i="10"/>
  <c r="N16" i="10"/>
  <c r="N37" i="10"/>
  <c r="Q39" i="9"/>
  <c r="Q41" i="9"/>
  <c r="Q31" i="9"/>
  <c r="O26" i="9"/>
  <c r="O29" i="9"/>
  <c r="O16" i="9"/>
  <c r="N44" i="10"/>
  <c r="G78" i="2"/>
  <c r="N49" i="10"/>
  <c r="Q32" i="9"/>
  <c r="Q28" i="9"/>
  <c r="Q20" i="9"/>
  <c r="Q24" i="9"/>
  <c r="O42" i="9"/>
  <c r="O32" i="9"/>
  <c r="N42" i="10"/>
  <c r="O24" i="9"/>
  <c r="O49" i="9"/>
  <c r="Q21" i="9"/>
  <c r="Q27" i="9"/>
  <c r="N48" i="10"/>
  <c r="O11" i="9"/>
  <c r="O14" i="9"/>
  <c r="O17" i="9"/>
  <c r="N45" i="10"/>
  <c r="Q16" i="9"/>
  <c r="O36" i="9"/>
  <c r="Q23" i="9"/>
  <c r="Q37" i="9"/>
  <c r="N33" i="10"/>
  <c r="N24" i="10"/>
  <c r="Q17" i="9"/>
  <c r="Q38" i="9"/>
  <c r="O30" i="9"/>
  <c r="O40" i="9"/>
  <c r="Q44" i="9"/>
  <c r="O33" i="9"/>
  <c r="N18" i="10"/>
  <c r="Q34" i="9"/>
  <c r="P19" i="10"/>
  <c r="P45" i="10"/>
  <c r="P18" i="10"/>
  <c r="P29" i="10"/>
  <c r="C16" i="15"/>
  <c r="C14" i="15"/>
  <c r="C61" i="15"/>
  <c r="C64" i="15"/>
  <c r="F17" i="14"/>
  <c r="F14" i="14" s="1"/>
  <c r="F11" i="14" s="1"/>
  <c r="C15" i="16"/>
  <c r="H220" i="1"/>
  <c r="Q62" i="9" l="1"/>
  <c r="D13" i="18" s="1"/>
  <c r="E13" i="18" s="1"/>
  <c r="P51" i="10"/>
  <c r="D14" i="18" s="1"/>
  <c r="E14" i="18" s="1"/>
  <c r="C11" i="15"/>
  <c r="O61" i="9"/>
  <c r="O62" i="9"/>
  <c r="N50" i="10"/>
  <c r="N51" i="10"/>
  <c r="K11" i="13"/>
  <c r="C20" i="13"/>
  <c r="D28" i="18"/>
  <c r="E28" i="18" s="1"/>
  <c r="C19" i="17"/>
  <c r="H12" i="14"/>
  <c r="C11" i="18"/>
  <c r="E11" i="18" s="1"/>
  <c r="K63" i="9"/>
  <c r="C14" i="14"/>
  <c r="C26" i="13" l="1"/>
  <c r="J27" i="13" s="1"/>
  <c r="J28" i="13" s="1"/>
  <c r="I27" i="13"/>
  <c r="I28" i="13" s="1"/>
  <c r="G34" i="14"/>
  <c r="D12" i="18" s="1"/>
  <c r="C13" i="15"/>
  <c r="F27" i="13"/>
  <c r="F28" i="13" s="1"/>
  <c r="D27" i="13"/>
  <c r="D28" i="13" s="1"/>
  <c r="E27" i="13"/>
  <c r="E28" i="13" s="1"/>
  <c r="C27" i="13"/>
  <c r="C28" i="13" s="1"/>
  <c r="L11" i="13"/>
  <c r="K20" i="13"/>
  <c r="K26" i="13" s="1"/>
  <c r="K27" i="13" s="1"/>
  <c r="K28" i="13" s="1"/>
  <c r="G27" i="13"/>
  <c r="G28" i="13" s="1"/>
  <c r="H27" i="13"/>
  <c r="H28" i="13" s="1"/>
  <c r="G35" i="14"/>
  <c r="C11" i="14"/>
  <c r="C22" i="16"/>
  <c r="C36" i="16" s="1"/>
  <c r="C12" i="15"/>
  <c r="C10" i="15" s="1"/>
  <c r="L17" i="13"/>
  <c r="C20" i="16"/>
  <c r="C35" i="16" s="1"/>
  <c r="E12" i="18" l="1"/>
  <c r="H12" i="18"/>
  <c r="C42" i="15"/>
  <c r="C48" i="15"/>
  <c r="C45" i="15"/>
  <c r="C46" i="15" s="1"/>
  <c r="C57" i="15"/>
  <c r="C39" i="15"/>
  <c r="D13" i="14"/>
  <c r="D12" i="14"/>
  <c r="D15" i="14"/>
  <c r="D16" i="14"/>
  <c r="D17" i="14"/>
  <c r="D14" i="14"/>
  <c r="C54" i="15" l="1"/>
  <c r="C78" i="2"/>
  <c r="H25" i="2" l="1"/>
  <c r="H26" i="2"/>
  <c r="H24" i="2"/>
  <c r="H12" i="2"/>
  <c r="C22" i="18"/>
  <c r="E22" i="18" s="1"/>
  <c r="D16" i="18"/>
  <c r="E16" i="18" s="1"/>
  <c r="C40" i="15"/>
  <c r="D21" i="18"/>
  <c r="E21" i="18" s="1"/>
  <c r="C58" i="15"/>
  <c r="D17" i="18"/>
  <c r="E17" i="18" s="1"/>
  <c r="C43" i="15"/>
  <c r="D18" i="18"/>
  <c r="E18" i="18" s="1"/>
  <c r="D19" i="18"/>
  <c r="E19" i="18" s="1"/>
  <c r="C49" i="15"/>
  <c r="C55" i="15"/>
  <c r="D55" i="2"/>
  <c r="D21" i="2"/>
  <c r="H13" i="2"/>
  <c r="D32" i="2"/>
  <c r="D26" i="2"/>
  <c r="D63" i="2"/>
  <c r="D61" i="2"/>
  <c r="D24" i="2"/>
  <c r="D31" i="2"/>
  <c r="D18" i="2"/>
  <c r="D57" i="2"/>
  <c r="H59" i="2"/>
  <c r="H64" i="2"/>
  <c r="H23" i="2"/>
  <c r="C17" i="16"/>
  <c r="H32" i="2"/>
  <c r="D35" i="2"/>
  <c r="H58" i="2"/>
  <c r="D58" i="2"/>
  <c r="H28" i="2"/>
  <c r="D39" i="2"/>
  <c r="H65" i="2"/>
  <c r="D50" i="2"/>
  <c r="D16" i="2"/>
  <c r="H54" i="2"/>
  <c r="D47" i="2"/>
  <c r="D45" i="2"/>
  <c r="D19" i="2"/>
  <c r="H38" i="2"/>
  <c r="H30" i="2"/>
  <c r="D54" i="2"/>
  <c r="H27" i="2"/>
  <c r="D62" i="2"/>
  <c r="D51" i="2"/>
  <c r="D30" i="2"/>
  <c r="H20" i="2"/>
  <c r="D20" i="2"/>
  <c r="H60" i="2"/>
  <c r="H42" i="2"/>
  <c r="D48" i="2"/>
  <c r="D23" i="2"/>
  <c r="H49" i="2"/>
  <c r="D34" i="2"/>
  <c r="H73" i="2"/>
  <c r="D29" i="2"/>
  <c r="H57" i="2"/>
  <c r="D36" i="2"/>
  <c r="H48" i="2"/>
  <c r="H40" i="2"/>
  <c r="H37" i="2"/>
  <c r="D56" i="2"/>
  <c r="D40" i="2"/>
  <c r="H34" i="2"/>
  <c r="H11" i="2"/>
  <c r="H44" i="2"/>
  <c r="D42" i="2"/>
  <c r="H67" i="2"/>
  <c r="H33" i="2"/>
  <c r="H62" i="2"/>
  <c r="H41" i="2"/>
  <c r="H21" i="2"/>
  <c r="D15" i="2"/>
  <c r="D13" i="2"/>
  <c r="H35" i="2"/>
  <c r="D25" i="2"/>
  <c r="D60" i="2"/>
  <c r="D49" i="2"/>
  <c r="H53" i="2"/>
  <c r="D17" i="2"/>
  <c r="H71" i="2"/>
  <c r="H50" i="2"/>
  <c r="H52" i="2"/>
  <c r="H51" i="2"/>
  <c r="H16" i="2"/>
  <c r="H46" i="2"/>
  <c r="D44" i="2"/>
  <c r="H75" i="2"/>
  <c r="D41" i="2"/>
  <c r="D12" i="2"/>
  <c r="H43" i="2"/>
  <c r="H72" i="2"/>
  <c r="H15" i="2"/>
  <c r="D43" i="2"/>
  <c r="D52" i="2"/>
  <c r="H68" i="2"/>
  <c r="H74" i="2"/>
  <c r="D53" i="2"/>
  <c r="D28" i="2"/>
  <c r="H66" i="2"/>
  <c r="H63" i="2"/>
  <c r="D37" i="2"/>
  <c r="H18" i="2"/>
  <c r="D65" i="2"/>
  <c r="H69" i="2"/>
  <c r="D33" i="2"/>
  <c r="D22" i="2"/>
  <c r="D11" i="2"/>
  <c r="H55" i="2"/>
  <c r="H45" i="2"/>
  <c r="H29" i="2"/>
  <c r="D64" i="2"/>
  <c r="H56" i="2"/>
  <c r="H14" i="2"/>
  <c r="H76" i="2"/>
  <c r="H36" i="2"/>
  <c r="D10" i="2"/>
  <c r="D38" i="2"/>
  <c r="D46" i="2"/>
  <c r="H77" i="2"/>
  <c r="D14" i="2"/>
  <c r="H39" i="2"/>
  <c r="H22" i="2"/>
  <c r="H47" i="2"/>
  <c r="H31" i="2"/>
  <c r="D59" i="2"/>
  <c r="H70" i="2"/>
  <c r="H17" i="2"/>
  <c r="H19" i="2"/>
  <c r="H61" i="2"/>
  <c r="H10" i="2"/>
  <c r="D27" i="2"/>
  <c r="C33" i="16" l="1"/>
  <c r="C25" i="16"/>
  <c r="C34" i="16"/>
  <c r="C29" i="16"/>
  <c r="C30" i="16"/>
  <c r="C32" i="16"/>
  <c r="C28" i="16"/>
  <c r="D30" i="18" s="1"/>
  <c r="C31" i="16"/>
  <c r="D26" i="18" l="1"/>
  <c r="E26" i="18" s="1"/>
  <c r="C33" i="18" s="1"/>
  <c r="C26" i="16"/>
</calcChain>
</file>

<file path=xl/sharedStrings.xml><?xml version="1.0" encoding="utf-8"?>
<sst xmlns="http://schemas.openxmlformats.org/spreadsheetml/2006/main" count="1860" uniqueCount="1100">
  <si>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</si>
  <si>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</si>
  <si>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</si>
  <si>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Нүдэнд (cell) аливаа бодолт хийж болохгүй зөвхөн гараас анхны утга оруулна уу.</t>
  </si>
  <si>
    <t>Copy, Paste хийхдээ "values" буюу томъёогүй форматаар хуулна уу.</t>
  </si>
  <si>
    <t>Мастерфайлд Гүйлгээ үлдэгдлийн тайлан (Balance)-ийн хуримтлагдсан орлого, алдагдлын нүднээс бусад нүдэнд сөрөг утгатай дүн оруулахгүй.</t>
  </si>
  <si>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</si>
  <si>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t>Гүйлгээ үлдэгдлийн тайлан (Balance)-д улаанаар тэмдэглэсэн дансд сөрөг утгаар тооцоологдохыг анхаарна уу.</t>
  </si>
  <si>
    <r>
      <t xml:space="preserve">Хадгаламжийн болон зээлийн сарын хүүг шивэх бөгөөд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</si>
  <si>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</si>
  <si>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</si>
  <si>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</si>
  <si>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</si>
  <si>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r>
      <t xml:space="preserve">Мастерфайлыг нэрлэхдээ SCCNQXXXXXXXq022024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SCCN1234567q022024</t>
    </r>
  </si>
  <si>
    <t>ХЗХ-ны Нягтлан бодох бүртгэлийн зааврыг энд дарж үзнэ үү.</t>
  </si>
  <si>
    <t>ЗОЭТЗЗХС тайланд зээлийн төлөлт хийгдсэн тоо хэсэгт төлөлт хийгдсэн зээлийн давтамж бус төлөлт хийгдсэн зээлийн тоог нөхөхийг анхаарна уу.</t>
  </si>
  <si>
    <t>ЗОЭТЗЗХС тайланд зээлийн зориулалтыг нөхөхдөө Эдийн засгийн бүх төрлийн үйл ажиллагааны салбарын ангиллыг шинэчлэн батлах тухай Сангийн сайд, ҮСХ-ны даргын хамтарсан 2018 оны 319/А/160 дугаар тушаалтай танилцаж нөхнө үү.</t>
  </si>
  <si>
    <t>ЗОЭТЗЗХС тайланд хуулийн этгээдийг ангилахдаа Жижиг, дунд үйлдвэр, үйлчилгээг дэмжих тухай хуульд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</si>
  <si>
    <t>Статистик мэдээлэл болон ЗОЭТЗЗХС тайланд хуулийн этгээдийн мэдээллийг хүйсээр ангилахдаа гүйцэтгэх захирлын хүйсээр ангилна.</t>
  </si>
  <si>
    <t>Нэгдмэл сонирхолтой этгээдэд олгосон зээл, зээлтэй адилтган тооцох бусад хөрөнгийн тайланд нэгдмэл сонирхолтой этгээдүүдийг 2 оронтой тоо бүхий ижил кодоор бүртгэн тайлагнана.</t>
  </si>
  <si>
    <t>Судалгаа бүрийн доор судалгаа бөглөх зааварчилгаа, санамжийг оруулсан тул уншиж танилцана уу!</t>
  </si>
  <si>
    <t xml:space="preserve">ЗААВАЛ НӨХӨХ ТАЙЛАНГУУД: </t>
  </si>
  <si>
    <t>Статистик мэдээлэл /STATISTICS/</t>
  </si>
  <si>
    <t>Гүйлгээ үлдэгдлийн тайлан /BALANCE/</t>
  </si>
  <si>
    <t>Тэнцлийн гадуур бүртгэлтэй хүлээж болзошгүй үүрэг, төлбөрийн баталгааны судалгааны тайлан</t>
  </si>
  <si>
    <t>ЗОЭТЗЗХС тайлан /LOAN-PD/</t>
  </si>
  <si>
    <t>Ногоон зээлийн судалгаа /LOAN-GREEN/</t>
  </si>
  <si>
    <t>Хадгаламжийн хүүгийн судалгаа /SAVING/</t>
  </si>
  <si>
    <t>40 том зээлдэгчид олгосон зээл, зээлтэй адилтган тооцох бусад хөрөнгийн тайлан /40 BIG LOAN/</t>
  </si>
  <si>
    <t>Нэгдмэл сонирхолтой этгээдэд олгосон зээл, зээлтэй адилтган тооцох бусад хөрөнгийн тайлан /INSIDER/</t>
  </si>
  <si>
    <t>40 том хадгаламж эзэмшигчийн тайлан /BIG SAVING/</t>
  </si>
  <si>
    <t>Их хэмжээний хувь хөрөнгө нийлүүлсэн гишүүдийн тайлан /BIG SHARES/</t>
  </si>
  <si>
    <t>Хөрөнгө, эх үүсвэрийн эргэн төлөгдөх хугацааны тайлан /ALM/</t>
  </si>
  <si>
    <t>Хөрөнгийн чанарын болон хамгаалалтын үзүүлэлтийн тайлан /A/</t>
  </si>
  <si>
    <t xml:space="preserve">"Хадгаламж, зээлийн хоршооны үйл ажиллагааны зохистой харьцааны </t>
  </si>
  <si>
    <t>шалгуур үзүүлэлт"-ийн  хавсралт 1</t>
  </si>
  <si>
    <t>СТАТИСТИК МЭДЭЭЛЭЛ</t>
  </si>
  <si>
    <t>ХАДГАЛАМЖ, ЗЭЭЛИЙН ХОРШООНЫ НЭР</t>
  </si>
  <si>
    <t>ХАДГАЛАМЖ, ЗЭЭЛИЙН ХОРШОО</t>
  </si>
  <si>
    <t>д/д</t>
  </si>
  <si>
    <t xml:space="preserve">СТАТИСТИК МЭДЭЭЛЭЛ </t>
  </si>
  <si>
    <t>ДҮН/ТОО</t>
  </si>
  <si>
    <t>I</t>
  </si>
  <si>
    <t>ГИШҮҮДИЙН МЭДЭЭЛЭЛ</t>
  </si>
  <si>
    <t xml:space="preserve">Нийт гишүүдийн тоо </t>
  </si>
  <si>
    <t xml:space="preserve">            Эрэгтэй</t>
  </si>
  <si>
    <t xml:space="preserve">            Эмэгтэй</t>
  </si>
  <si>
    <t xml:space="preserve">            Гишүүн хуулийн этгээд</t>
  </si>
  <si>
    <t xml:space="preserve">                          Үүнээс: Эмэгтэй удирдлагатай</t>
  </si>
  <si>
    <t>Гишүүний оруулах хувь хөрөнгийн доод дүн</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</si>
  <si>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</si>
  <si>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</si>
  <si>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</si>
  <si>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</si>
  <si>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</si>
  <si>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</si>
  <si>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</si>
  <si>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</si>
  <si>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</si>
  <si>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</si>
  <si>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</si>
  <si>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II</t>
  </si>
  <si>
    <t>ЗЭЭЛДЭГЧДИЙН МЭДЭЭЛЭЛ</t>
  </si>
  <si>
    <t>Нийт зээлдэгчийн тоо</t>
  </si>
  <si>
    <t xml:space="preserve">               -Иргэн</t>
  </si>
  <si>
    <t xml:space="preserve">                         Үүнээс: Эмэгтэй</t>
  </si>
  <si>
    <t xml:space="preserve">               -Хуулийн этгээд</t>
  </si>
  <si>
    <t xml:space="preserve">                         Үүнээс: Эмэгтэй удирдлагатай</t>
  </si>
  <si>
    <t xml:space="preserve">Зээлдэгчдийн тоо зээлийн ангиллаар </t>
  </si>
  <si>
    <t xml:space="preserve">Хэвийн </t>
  </si>
  <si>
    <t xml:space="preserve">Хугацаа хэтэрсэн </t>
  </si>
  <si>
    <t xml:space="preserve">        Чанаргүй:</t>
  </si>
  <si>
    <t xml:space="preserve">                    Хэвийн бус</t>
  </si>
  <si>
    <t xml:space="preserve">                    Эргэлзээтэй</t>
  </si>
  <si>
    <t xml:space="preserve">                    Муу</t>
  </si>
  <si>
    <t xml:space="preserve">Зээлдэгчдийн насжилт </t>
  </si>
  <si>
    <t xml:space="preserve">Зээлдэгчдийн боловсрол </t>
  </si>
  <si>
    <t>Зээлийн ЖДХ /сараар/</t>
  </si>
  <si>
    <t>1 зээлдэгчийн зээлийн дундаж дүн</t>
  </si>
  <si>
    <t>III</t>
  </si>
  <si>
    <t>ХАДГАЛАМЖ ЭЗЭМШИГЧДИЙН МЭДЭЭЛЭЛ</t>
  </si>
  <si>
    <t>Нийт хадгаламж эзэмшигчийн тоо</t>
  </si>
  <si>
    <t>Хугацаатай хадгаламж эзэмшигчдийн тоо</t>
  </si>
  <si>
    <t xml:space="preserve">                    -Иргэн</t>
  </si>
  <si>
    <t xml:space="preserve">                            Үүнээс: Эмэгтэй</t>
  </si>
  <si>
    <t xml:space="preserve">                    -Хуулийн этгээд</t>
  </si>
  <si>
    <t>Хугацаагүй хадгаламж эзэмшигчдийн тоо</t>
  </si>
  <si>
    <t xml:space="preserve">Хадгаламж эзэмшигчдийн насжилт </t>
  </si>
  <si>
    <t xml:space="preserve">Хадгаламж эзэмшигчдийн боловсрол </t>
  </si>
  <si>
    <t>Хадгаламжийн ЖДХ /сараар/</t>
  </si>
  <si>
    <t>1 хадгаламж эзэмшигчийн хадгаламжийн дундаж дүн</t>
  </si>
  <si>
    <t>IV</t>
  </si>
  <si>
    <t xml:space="preserve">ХЗХ-НЫ МЭДЭЭЛЭЛ </t>
  </si>
  <si>
    <t xml:space="preserve">Нийт ажиллагчийн тоо </t>
  </si>
  <si>
    <t xml:space="preserve">          Үүнээс: Эмэгтэй</t>
  </si>
  <si>
    <t>Салбартай эсэх</t>
  </si>
  <si>
    <r>
      <rPr>
        <b/>
        <sz val="10"/>
        <color theme="1"/>
        <rFont val="Times New Roman"/>
        <family val="1"/>
      </rPr>
      <t>Салбарын ажиллагчийн тоо</t>
    </r>
    <r>
      <rPr>
        <sz val="10"/>
        <color theme="1"/>
        <rFont val="Times New Roman"/>
        <family val="1"/>
      </rPr>
      <t xml:space="preserve"> /салбартай бол/</t>
    </r>
  </si>
  <si>
    <t xml:space="preserve">Компьютерын тоо </t>
  </si>
  <si>
    <t>Санхүүгийн программтай эсэх  /Тийм, Үгүй сонгох/</t>
  </si>
  <si>
    <t>Санхүүгийн програмын нэр</t>
  </si>
  <si>
    <t xml:space="preserve">Холбоо барих </t>
  </si>
  <si>
    <t>ХЗХ-ны утас</t>
  </si>
  <si>
    <t>ХЗХ-ны цахим шуудан</t>
  </si>
  <si>
    <t>V</t>
  </si>
  <si>
    <t>СМА-НД МЭДЭЭЛСЭН БАЙДАЛ</t>
  </si>
  <si>
    <t>Монголбанкны СМА-нд мэдээлсэн 20 сая төгрөгөөс дээш бэлэн мөнгөний гүйлгээ /оны эхнээс өссөн дүнгээр/</t>
  </si>
  <si>
    <t>20 сая төгрөгөөс дээш бэлэн мөнгөний гүйлгээний тоо</t>
  </si>
  <si>
    <t>20 сая төгрөгөөс дээш бэлэн мөнгөний гүйлгээний дүн /төгрөгөөр/</t>
  </si>
  <si>
    <t>Монголбанкны СМА-нд мэдээлсэн сэжигтэй гүйлгээ /оны эхнээс өссөн дүнгээр/</t>
  </si>
  <si>
    <t>Сэжигтэй гүйлгээний тоо</t>
  </si>
  <si>
    <t>Сэжигтэй гүйлгээний дүн /төгрөгөөр/</t>
  </si>
  <si>
    <t>ТАМГА</t>
  </si>
  <si>
    <t>Тайланг үнэн зөв гаргасан:</t>
  </si>
  <si>
    <t xml:space="preserve">Гүйцэтгэх захирал </t>
  </si>
  <si>
    <t>/Нэр/</t>
  </si>
  <si>
    <t>Ерөнхий ня-бо</t>
  </si>
  <si>
    <t>ГҮЙЛГЭЭ ҮЛДЭГДЛИЙН ТАЙЛАН ТЭНЦЭЛ</t>
  </si>
  <si>
    <t>/төгрөгөөр/</t>
  </si>
  <si>
    <t>АКТИВ</t>
  </si>
  <si>
    <t>Дансны код</t>
  </si>
  <si>
    <t>ДҮН</t>
  </si>
  <si>
    <t>ПАССИВ</t>
  </si>
  <si>
    <t>САНХҮҮГИЙН ХӨРӨНГӨ</t>
  </si>
  <si>
    <t>САНХҮҮГИЙН ӨР ТӨЛБӨР</t>
  </si>
  <si>
    <t>МӨНГӨ, ТҮҮНТЭЙ АДИЛТГАХ ХӨРӨНГӨ</t>
  </si>
  <si>
    <t>ХАДГАЛАМЖ</t>
  </si>
  <si>
    <t xml:space="preserve">Бэлэн мөнгө </t>
  </si>
  <si>
    <t>Хугацаагүй хадгаламж</t>
  </si>
  <si>
    <t>Касст байгаа бэлэн мөнгө</t>
  </si>
  <si>
    <t>Жижиг мөнгөн сан</t>
  </si>
  <si>
    <t>Идэвхгүй гишүүний хугацаагүй хадгаламж</t>
  </si>
  <si>
    <t xml:space="preserve">Банк, санхүүгийн байгууллагад байршуулсан хөрөнгө </t>
  </si>
  <si>
    <t>Хугацаатай хадгаламж</t>
  </si>
  <si>
    <t>Харилцах данс</t>
  </si>
  <si>
    <t>30 хоног хүртэл</t>
  </si>
  <si>
    <t xml:space="preserve">Банканд байршуулсан харилцах </t>
  </si>
  <si>
    <t>1-3 сарын хугацаатай</t>
  </si>
  <si>
    <t>Бусад санхүүгийн байгууллага дахь харилцах</t>
  </si>
  <si>
    <t>3-6 сарын хугацаатай</t>
  </si>
  <si>
    <t>Хадгаламж</t>
  </si>
  <si>
    <t>6-12 сарын хугацаатай</t>
  </si>
  <si>
    <t xml:space="preserve">         Хугацаагүй хадгаламж</t>
  </si>
  <si>
    <t>1-2 жилийн хугацаатай</t>
  </si>
  <si>
    <t xml:space="preserve">         Хугацаатай хадгаламж</t>
  </si>
  <si>
    <t xml:space="preserve">2-5 жилийн хугацаатай </t>
  </si>
  <si>
    <t>Замд яваа мөнгө</t>
  </si>
  <si>
    <t>5 жилээс дээш хугацаатай</t>
  </si>
  <si>
    <t>Хадгаламжид хуримтлуулж тооцсон хүүгийн өглөг</t>
  </si>
  <si>
    <t>Мөнгөтэй адилтгах хөрөнгө</t>
  </si>
  <si>
    <t>БАНК, САНХҮҮГИЙН БАЙГУУЛЛАГААС ТАТСАН ЭХ ҮҮСВЭР</t>
  </si>
  <si>
    <t>Мөнгө, түүнтэй адилтгах хөрөнгөнд хуримтлуулж тооцсон хүүгийн авлага</t>
  </si>
  <si>
    <t>Банк санхүүгийн байгууллагаас авсан зээл</t>
  </si>
  <si>
    <t xml:space="preserve">Дотоодын банк, санхүүгийн байгууллагаас авсан зээл </t>
  </si>
  <si>
    <t xml:space="preserve">ЗЭЭЛ </t>
  </si>
  <si>
    <t xml:space="preserve">Дотоодын банк, санхүүгийн байгууллагаас авсан богино хугацаат зээл </t>
  </si>
  <si>
    <t xml:space="preserve">Хэвийн зээл </t>
  </si>
  <si>
    <t xml:space="preserve">Дотоодын банк, санхүүгийн байгууллагаас авсан урт хугацаат зээл </t>
  </si>
  <si>
    <t xml:space="preserve">Иргэн </t>
  </si>
  <si>
    <t xml:space="preserve"> Гадаадын банк, санхүүгийн байгууллагаас авсан зээл</t>
  </si>
  <si>
    <t>Хуулийн этгээд</t>
  </si>
  <si>
    <t>Гадаадын банк, санхүүгийн байгууллагаас авсан богино хугацаат зээл</t>
  </si>
  <si>
    <t>Хугацаа хэтэрсэн зээл</t>
  </si>
  <si>
    <t>Гадаадын банк, санхүүгийн байгууллагаас авсан урт хугацаат зээл</t>
  </si>
  <si>
    <t>Иргэн</t>
  </si>
  <si>
    <t xml:space="preserve"> Банк, санхүүгийн байгууллагаас авсан зээлийн хойшлогдсон төлбөр</t>
  </si>
  <si>
    <t>Дотоодын банк, санхүүгийн байгууллага</t>
  </si>
  <si>
    <t>Чанаргүй зээл</t>
  </si>
  <si>
    <t>Гадаадын банк, санхүүгийн байгууллага</t>
  </si>
  <si>
    <t xml:space="preserve">Хэвийн бус зээл </t>
  </si>
  <si>
    <t>Банк, санхүүгийн байгууллагаас авсан зээлд хуримтлуулж тооцсон хүүгийн өглөг</t>
  </si>
  <si>
    <t xml:space="preserve">        Иргэн</t>
  </si>
  <si>
    <t xml:space="preserve">        Хуулийн этгээд</t>
  </si>
  <si>
    <t>Эргэлзээтэй зээл</t>
  </si>
  <si>
    <t>Бусад /Төсөл, хөтөлбөрийн зээлийн үлдэгдэл/</t>
  </si>
  <si>
    <t>БУСАД САНХҮҮГИЙН ӨР ТӨЛБӨР</t>
  </si>
  <si>
    <t xml:space="preserve">Муу зээл </t>
  </si>
  <si>
    <t>Дансны өглөг</t>
  </si>
  <si>
    <t>Ногдох хувь хөрөнгийн өглөг</t>
  </si>
  <si>
    <t>Зээлийн хойшлогдсон орлого</t>
  </si>
  <si>
    <t>Гишүүний ногдох хувь хөрөнгийн өглөг</t>
  </si>
  <si>
    <t>Идэвхгүй гишүүний ногдох хувь хөрөнгийн өглөг</t>
  </si>
  <si>
    <t>Зээлд хуримтлуулж тооцсон хүүгийн авлага</t>
  </si>
  <si>
    <t>Салбар хоорондын тооцоо</t>
  </si>
  <si>
    <t xml:space="preserve">Салбар хоорондын тооцооны өглөг </t>
  </si>
  <si>
    <t>Зээлийн эрсдэлийн сан</t>
  </si>
  <si>
    <t>Түрээсийн өглөг</t>
  </si>
  <si>
    <t>Зах зээлийн хүүгийн түвшнээс доогуур хүүтэйгээр олгосон зээлийн бодит үнийн залруулга</t>
  </si>
  <si>
    <t>Даатгалын өглөг</t>
  </si>
  <si>
    <t>БУСАД САНХҮҮГИЙН ХӨРӨНГӨ</t>
  </si>
  <si>
    <t>САНХҮҮГИЙН БУС ӨР ТӨЛБӨР</t>
  </si>
  <si>
    <t>Дансны авлага</t>
  </si>
  <si>
    <t>Татварын өглөг</t>
  </si>
  <si>
    <t>Хувь хүнээс авах авлага</t>
  </si>
  <si>
    <t>ААНОАТ-ын өглөг</t>
  </si>
  <si>
    <t>Хуулийн этгээдээс авах авлага</t>
  </si>
  <si>
    <t>ХХОАТ-ын өглөг</t>
  </si>
  <si>
    <t>Авлагын эрсдэлийн сан</t>
  </si>
  <si>
    <t>НӨАТ-ын өглөг</t>
  </si>
  <si>
    <t>Бусад татварын өглөг</t>
  </si>
  <si>
    <t>Холбоотой талаас авах авлага</t>
  </si>
  <si>
    <t>Эрүүл мэнд, нийгмийн даатгалын шимтгэлийн өглөг</t>
  </si>
  <si>
    <t>Ажиллагчдаас авах авлага</t>
  </si>
  <si>
    <t>Ажиллагсадтай холбоотой өглөг</t>
  </si>
  <si>
    <t>Цалингийн өглөг</t>
  </si>
  <si>
    <t>Ажиллагчдад өгөх өглөг</t>
  </si>
  <si>
    <t>Гишүүн байгууллагын татварын өглөг</t>
  </si>
  <si>
    <t>Өмчлөх бусад санхүүгийн хөрөнгө</t>
  </si>
  <si>
    <t>Холбоотой талд өгөх өглөг</t>
  </si>
  <si>
    <t>Өмчлөх бусад хөрөнгийн эрсдэлийн сан</t>
  </si>
  <si>
    <t>Өмчлөх бусад хөрөнгийн үнэлгээний хасагдуулга</t>
  </si>
  <si>
    <t>БУСАД САНХҮҮГИЙН БУС ӨР ТӨЛБӨР</t>
  </si>
  <si>
    <t>Бусад</t>
  </si>
  <si>
    <t>Хойшлогдсон орлого</t>
  </si>
  <si>
    <t>САНХҮҮГИЙН БУС ХӨРӨНГӨ</t>
  </si>
  <si>
    <t>Борлуулах зорилгоор эзэмшиж буй эргэлтийн бус хөрөнгөнд хамаарах өр</t>
  </si>
  <si>
    <t>Татварын авлага</t>
  </si>
  <si>
    <t>ААНОАТ-ын авлага</t>
  </si>
  <si>
    <t xml:space="preserve">Хойшлогдсон татварын өр төлбөр </t>
  </si>
  <si>
    <t>ХХОАТ-ын авлага</t>
  </si>
  <si>
    <t>Үл хөдлөх эд хөрөнгийн албан татварын авлага</t>
  </si>
  <si>
    <t>Бусад татварын авлага</t>
  </si>
  <si>
    <t>Эрүүл мэнд, нийгмийн даатгалын шимтгэлийн авлага</t>
  </si>
  <si>
    <t>НӨӨЦ, БОЛЗОШГҮЙ ӨР ТӨЛБӨР</t>
  </si>
  <si>
    <t xml:space="preserve">Хуулийн байгууллагаар шийдэгдэж байгаа зүйлсэд байгуулсан нөөц </t>
  </si>
  <si>
    <t>Урьдчилж төлсөн зардал/тооцоо</t>
  </si>
  <si>
    <t>Урьдчилж төлсөн тооцоо</t>
  </si>
  <si>
    <t xml:space="preserve">Зээл, зээлтэй адилтгах хөрөнгөнд хамаарах үүргийн нөөц </t>
  </si>
  <si>
    <t>Урьдчилж төлсөн зардал</t>
  </si>
  <si>
    <t>Бараа материал</t>
  </si>
  <si>
    <t>Бусад нөөц</t>
  </si>
  <si>
    <r>
      <t xml:space="preserve">   </t>
    </r>
    <r>
      <rPr>
        <sz val="10"/>
        <color rgb="FF000000"/>
        <rFont val="Times New Roman"/>
        <family val="1"/>
      </rPr>
      <t>Хангамжийн материал</t>
    </r>
  </si>
  <si>
    <r>
      <t xml:space="preserve">   </t>
    </r>
    <r>
      <rPr>
        <sz val="10"/>
        <color rgb="FF000000"/>
        <rFont val="Times New Roman"/>
        <family val="1"/>
      </rPr>
      <t>Бусад</t>
    </r>
  </si>
  <si>
    <t>ӨӨРИЙН ХӨРӨНГӨ</t>
  </si>
  <si>
    <t>Өмчлөх бусад хөрөнгө</t>
  </si>
  <si>
    <t>Гишүүний оруулсан хувь хөрөнгө</t>
  </si>
  <si>
    <t>Хөдлөх хөрөнгө</t>
  </si>
  <si>
    <t xml:space="preserve">   Идэвхтэй гишүүний оруулсан хувь хөрөнгө</t>
  </si>
  <si>
    <t>Үл хөдлөх хөрөнгө</t>
  </si>
  <si>
    <t xml:space="preserve">   Идэвхгүй гишүүний оруулсан хувь хөрөнгө</t>
  </si>
  <si>
    <t xml:space="preserve">Өмчийн бусад хэсэг </t>
  </si>
  <si>
    <t xml:space="preserve">  Хөрөнгийн дахин үнэлгээний нэмэгдэл</t>
  </si>
  <si>
    <t>Бусад санхүүгийн бус хөрөнгө</t>
  </si>
  <si>
    <t>Үндсэн хөрөнгийн дахин үнэлгээний нэмэгдэл</t>
  </si>
  <si>
    <t>Хойшлогдсон татварын хөрөнгө</t>
  </si>
  <si>
    <t>Биет бус хөрөнгийн дахин үнэлгээний нэмэгдэл</t>
  </si>
  <si>
    <t>Борлуулах зорилгоор эзэмшиж буй эргэлтийн бус хөрөнгө</t>
  </si>
  <si>
    <t xml:space="preserve">  Хандив, тусламж</t>
  </si>
  <si>
    <t>Ашиглах эрхтэй хөрөнгө</t>
  </si>
  <si>
    <t>Хандив, тусламж</t>
  </si>
  <si>
    <t>Дуусаагүй барилга</t>
  </si>
  <si>
    <t xml:space="preserve">    Бусад</t>
  </si>
  <si>
    <t>Хөрөнгө оруулалтын зориулалттай үл хөдлөх хөрөнгө</t>
  </si>
  <si>
    <t>Тусгай зориулалтын сангууд</t>
  </si>
  <si>
    <t>Нөөцийн сан</t>
  </si>
  <si>
    <t>Хуримтлагдсан элэгдэл</t>
  </si>
  <si>
    <t>Тогтворжилтын сан</t>
  </si>
  <si>
    <t>Хуримтлагдсан үнэ цэнийн бууралт</t>
  </si>
  <si>
    <t>Хадгаламж хамгаалалтын сан</t>
  </si>
  <si>
    <t>ҮНДСЭН ХӨРӨНГӨ</t>
  </si>
  <si>
    <t>Нийгмийн хөгжлийн сан</t>
  </si>
  <si>
    <t>Газрын сайжруулалт</t>
  </si>
  <si>
    <t>Бусад сан</t>
  </si>
  <si>
    <t>Хуримтлагдсан орлого, алдагдал</t>
  </si>
  <si>
    <t xml:space="preserve">      Тайлант үеийн цэвэр орлого, алдагдал </t>
  </si>
  <si>
    <t xml:space="preserve">      Өмнөх үеийн хуримтлагдсан орлого, алдагдал </t>
  </si>
  <si>
    <t>Барилга, байгууламж</t>
  </si>
  <si>
    <t>ОРЛОГО</t>
  </si>
  <si>
    <t>Барилга</t>
  </si>
  <si>
    <t>Хүүгийн орлого</t>
  </si>
  <si>
    <t>Зээлийн хүүгийн орлого</t>
  </si>
  <si>
    <t>Байгууламж</t>
  </si>
  <si>
    <t>Зээлийн нэмэгдүүлсэн хүүгийн орлого</t>
  </si>
  <si>
    <t>Банк, санхүүгийн байгууллагаас авсан хүүгийн орлого</t>
  </si>
  <si>
    <t>Компьютер, дагалдах хэрэгсэл</t>
  </si>
  <si>
    <t>(Зээлийн хүүгийн орлогын буцаалт)</t>
  </si>
  <si>
    <t>Хүүгийн бус орлого</t>
  </si>
  <si>
    <t>Элсэлтийн хураамж</t>
  </si>
  <si>
    <t>Тээврийн хэрэгсэл</t>
  </si>
  <si>
    <t>Гишүүний татвар</t>
  </si>
  <si>
    <t>Үйлчилгээний шимтгэл, хураамж</t>
  </si>
  <si>
    <t>Түрээсийн орлого</t>
  </si>
  <si>
    <t>Бусад хүүгийн бус орлого</t>
  </si>
  <si>
    <t>Тавилга, эд хогшил</t>
  </si>
  <si>
    <t>Үйл ажиллагааны бусад орлого, олз</t>
  </si>
  <si>
    <t>Тэнцлийн гадуурх данснаас орсон орлого</t>
  </si>
  <si>
    <t>Торгуулийн орлого</t>
  </si>
  <si>
    <t>Хандив, тусламжийн орлого</t>
  </si>
  <si>
    <t>Бусад үндсэн хөрөнгө</t>
  </si>
  <si>
    <t>Гадаад валютын ханшийн зөрүүний олз</t>
  </si>
  <si>
    <t>Үндсэн хөрөнгө, биет бус хөрөнгө борлуулсны, данснаас хассаны олз</t>
  </si>
  <si>
    <t>Үндсэн хөрөнгө ,биет бус хөрөнгийн үнэ цэнийн бууралтын буцаалтын орлого, олз</t>
  </si>
  <si>
    <t>Хөрөнгийг зах зээлийн түвшнээс өндөр хувь хэмжээгээр анх удаад хүлээн зөвшөөрсний олз</t>
  </si>
  <si>
    <t>БИЕТ БУС ХӨРӨНГӨ</t>
  </si>
  <si>
    <t>Өр төлбөрийг зах зээлийн түвшнээс бага хувь хэмжээгээр анх удаад хүлээн зөвшөөрсний олз</t>
  </si>
  <si>
    <t>Зохиогчийн эрх</t>
  </si>
  <si>
    <t>Хөрөнгийн үнэлгээний өөрчлөлтийн олз</t>
  </si>
  <si>
    <t>Бусад орлого</t>
  </si>
  <si>
    <t>хуримтлагдсан хорогдол</t>
  </si>
  <si>
    <t>үнэ цэнийн бууралт</t>
  </si>
  <si>
    <t>Программ хангамж</t>
  </si>
  <si>
    <t>Мэдээллийн сан</t>
  </si>
  <si>
    <t>Патент</t>
  </si>
  <si>
    <t>Тусгай зөвшөөрөл, бусад эрх</t>
  </si>
  <si>
    <t xml:space="preserve">Бусад биет бус хөрөнгө </t>
  </si>
  <si>
    <t>ЗАРДАЛ</t>
  </si>
  <si>
    <t>Хүүгийн зардал</t>
  </si>
  <si>
    <t>Хадгаламжийн хүүгийн зардал</t>
  </si>
  <si>
    <t>Банкнаас авсан зээлийн хүүгийн зардал</t>
  </si>
  <si>
    <t>Санхүүгийн байгууллагад төлсөн хүүгийн зардал</t>
  </si>
  <si>
    <t>Бусад хүүгийн зардал</t>
  </si>
  <si>
    <t>(Хүүгийн зардлын буцаалт)</t>
  </si>
  <si>
    <t>Эрсдэлийн сангийн зардал</t>
  </si>
  <si>
    <t>Зээлийн эрсдэлийн зардал</t>
  </si>
  <si>
    <t>Авлагын эрсдэлийн зардал</t>
  </si>
  <si>
    <t>Өмчлөх бусад хөрөнгийн эрсдэлийн зардал</t>
  </si>
  <si>
    <t>Үйл ажиллагааны зардал</t>
  </si>
  <si>
    <t>Ажиллагсдын зардал</t>
  </si>
  <si>
    <t>Ажиллагсдын цалингийн зардал</t>
  </si>
  <si>
    <t>Ажиллагсдын сургалтын зардал</t>
  </si>
  <si>
    <t>Гэрээт ажиллагсдын цалингийн зардал</t>
  </si>
  <si>
    <t>Ажиллагсдад олгосон нөхөн олговрын зардал</t>
  </si>
  <si>
    <t>Ажиллагсдад олгосон нэмэгдэл, хөнгөлөлт, урамшууллын зардал</t>
  </si>
  <si>
    <t>Хүний нөөцийн бусад зардал</t>
  </si>
  <si>
    <t>Эрүүл мэнд, нийгмийн даатгалын шимтгэлийн зардал</t>
  </si>
  <si>
    <t>Нийгмийн даатгалын шимтгэл</t>
  </si>
  <si>
    <t>Эрүүл мэндийн даатгалын шимтгэл</t>
  </si>
  <si>
    <t>Үйлчилгээний хураамж, шимтгэлийн зардал</t>
  </si>
  <si>
    <t>Зээл олголтын зардал</t>
  </si>
  <si>
    <t>Зээл болон бусад авлагыг барагдуулахтай холбогдолтой зардал</t>
  </si>
  <si>
    <t>Үндэсний холбооны гишүүний татвар</t>
  </si>
  <si>
    <t>Бусад үйлчилгээний зардал</t>
  </si>
  <si>
    <t>Бусад үйл ажиллагааны зардал</t>
  </si>
  <si>
    <t xml:space="preserve">Ашиглалтын зардал </t>
  </si>
  <si>
    <t>Элэгдэл, хорогдлын зардал</t>
  </si>
  <si>
    <t>Түлш, шатахуун, тээврийн зардал</t>
  </si>
  <si>
    <t>Түрээсийн зардал</t>
  </si>
  <si>
    <t>Харилцаа холбооны зардал</t>
  </si>
  <si>
    <t>Засварын зардал</t>
  </si>
  <si>
    <t>Улсын тэмдэгтийн хураамж</t>
  </si>
  <si>
    <t>Зохицуулалтын үйлчилгээний хөлс</t>
  </si>
  <si>
    <t>Харуул хамгаалалт, аюулгүй байдлын зардал</t>
  </si>
  <si>
    <t>Аудит, мэргэжлийн үйлчилгээний зардал</t>
  </si>
  <si>
    <t>Даатгалын зардал</t>
  </si>
  <si>
    <t>Бичиг хэргийн зардал</t>
  </si>
  <si>
    <t>Зочин, төлөөлөгчийн зардал</t>
  </si>
  <si>
    <t>Ариун цэврийн зардал</t>
  </si>
  <si>
    <t>Газрын төлбөр</t>
  </si>
  <si>
    <t>Гишүүдийн сургалт, судалгааны зардал</t>
  </si>
  <si>
    <t>Албан томилолтын зардал</t>
  </si>
  <si>
    <t>Банкны шимтгэлийн зардал</t>
  </si>
  <si>
    <t>Хурал зохион байгуулах зардал</t>
  </si>
  <si>
    <t>Өмчлөх бусад хөрөнгийн урсгал зардал</t>
  </si>
  <si>
    <t>Үйл ажиллагааны бусад зардал</t>
  </si>
  <si>
    <t>Бусад зардал, гарз</t>
  </si>
  <si>
    <t>Торгуулийн зардал</t>
  </si>
  <si>
    <t>Хандив олгосны зардал</t>
  </si>
  <si>
    <t>Үндсэн хөрөнгө, биет бус хөрөнгө борлуулсны, данснаас хассаны гарз</t>
  </si>
  <si>
    <t>Гадаад валютын ханшийн зөрүүний гарз</t>
  </si>
  <si>
    <t>Хөрөнгийг зах зээлийн түвшнээс өндөр хувь хэмжээгээр анх удаад хүлээн зөвшөөрсний гарз</t>
  </si>
  <si>
    <t>Өр төлбөрийг зах зээлийн түвшнээс бага хувь хэмжээгээр анх удаад хүлээн зөвшөөрсний гарз</t>
  </si>
  <si>
    <t>Хөрөнгийн үнэлгээний өөрчлөлтийн гарз</t>
  </si>
  <si>
    <t>Үндсэн хөрөнгө, биет бус хөрөнгийн үнэ цэнийн бууралтын гарз</t>
  </si>
  <si>
    <t>Бусад зардал</t>
  </si>
  <si>
    <t>Мөнгөний дутагдал</t>
  </si>
  <si>
    <t>Орлогын албан татварын зардал</t>
  </si>
  <si>
    <t>Тайлант үеийн орлогын албан татварын зардал</t>
  </si>
  <si>
    <t>Хойшлогдсон татварын зардал</t>
  </si>
  <si>
    <t xml:space="preserve">БАЛАНСЫН ДҮН </t>
  </si>
  <si>
    <t>ТЭНЦЛИЙН ГАДУУРХ ДАНС</t>
  </si>
  <si>
    <t>Зээл, зээлтэй адилтгах хөрөнгөнд хамаарах үүрэг</t>
  </si>
  <si>
    <t>Тайлант үеийн орлого/ алдагдал</t>
  </si>
  <si>
    <t>Батлан даалт</t>
  </si>
  <si>
    <t>Нийт орлого</t>
  </si>
  <si>
    <t>Баталгаа</t>
  </si>
  <si>
    <t>Нийт зарлага</t>
  </si>
  <si>
    <t>Зээлийн шугам</t>
  </si>
  <si>
    <t>Бусад болзошгүй үүрэг</t>
  </si>
  <si>
    <t>Зээлийн барьцаа хөрөнгө</t>
  </si>
  <si>
    <t>Бусад барьцаа</t>
  </si>
  <si>
    <t>Тэнцлээс хассан хөрөнгө</t>
  </si>
  <si>
    <t>Банк, санхүүгийн байгууллагад байршуулсан хөрөнгө</t>
  </si>
  <si>
    <t>Зээлийн эрсдэлийн сангаас хаасан зээл</t>
  </si>
  <si>
    <t>Өмчлөх бусад хөрөнгийн эрсдэлийн сангаас хаасан хөрөнгө</t>
  </si>
  <si>
    <t>Авлагын эрсдэлийн сангаас хаасан авлага</t>
  </si>
  <si>
    <t>Хуримтлуулж тооцохыг зогсоосон хүү</t>
  </si>
  <si>
    <t>Барьцаанд тавьсан хөрөнгө</t>
  </si>
  <si>
    <t>Бусад хөрөнгө</t>
  </si>
  <si>
    <t>Тэнцлийн гадуурх бусад данс</t>
  </si>
  <si>
    <t>Бүртгэлийн маягт</t>
  </si>
  <si>
    <t>Хадгалсан үнэ бүхий зүйлс</t>
  </si>
  <si>
    <t>Хэрэглэж буй тамга, тэмдэг</t>
  </si>
  <si>
    <t>Цахим карт</t>
  </si>
  <si>
    <t>Гүйцэтгэх захирал</t>
  </si>
  <si>
    <t>ХУРААНГУЙ ТАЙЛАН ТЭНЦЭЛ</t>
  </si>
  <si>
    <t>Нийт хөрөнгөд эзлэх хувь</t>
  </si>
  <si>
    <t>1.1.1</t>
  </si>
  <si>
    <t>Бэлэн мөнгө</t>
  </si>
  <si>
    <t>2.1.1</t>
  </si>
  <si>
    <t>Нийт хадгаламж</t>
  </si>
  <si>
    <t>1.1.2</t>
  </si>
  <si>
    <t xml:space="preserve">Банк, санхүүгийн байгууллагад байршуулсан харилцах </t>
  </si>
  <si>
    <t>2.1.1.1</t>
  </si>
  <si>
    <t>1.1.3</t>
  </si>
  <si>
    <t>Банканд байршуулсан хадгаламж</t>
  </si>
  <si>
    <t>2.1.1.2</t>
  </si>
  <si>
    <t>1.1.4</t>
  </si>
  <si>
    <t>2.1.1.2.1</t>
  </si>
  <si>
    <t>1.1.5</t>
  </si>
  <si>
    <t>2.1.1.2.2</t>
  </si>
  <si>
    <t>1.1.6</t>
  </si>
  <si>
    <t>2.1.1.2.3</t>
  </si>
  <si>
    <t>ЗЭЭЛ /ЦЭВРЭЭР/</t>
  </si>
  <si>
    <t>2.1.1.2.4</t>
  </si>
  <si>
    <t>1.2.1</t>
  </si>
  <si>
    <t>Нийт зээл</t>
  </si>
  <si>
    <t>2.1.1.2.5</t>
  </si>
  <si>
    <t>1.2.1.1</t>
  </si>
  <si>
    <t>2.1.1.2.6</t>
  </si>
  <si>
    <t>1.2.1.2</t>
  </si>
  <si>
    <t>2.1.1.2.7</t>
  </si>
  <si>
    <t>1.2.2</t>
  </si>
  <si>
    <t>2.1.1.3</t>
  </si>
  <si>
    <t>1.2.3</t>
  </si>
  <si>
    <t>1.2.4</t>
  </si>
  <si>
    <t>2.2.1</t>
  </si>
  <si>
    <t>Банк, санхүүгийн байгууллагаас авсан зээл</t>
  </si>
  <si>
    <t>1.2.4.1</t>
  </si>
  <si>
    <t>2.2.1.1</t>
  </si>
  <si>
    <t>1.2.4.2</t>
  </si>
  <si>
    <t>2.2.1.1.1</t>
  </si>
  <si>
    <t>1.2.4.3</t>
  </si>
  <si>
    <t>2.2.1.1.2</t>
  </si>
  <si>
    <t>1.2.5</t>
  </si>
  <si>
    <t>2.2.1.2</t>
  </si>
  <si>
    <t>Гадаадын банк, санхүүгийн байгууллагаас авсан зээл</t>
  </si>
  <si>
    <t>1.2.6</t>
  </si>
  <si>
    <t>2.2.1.2.1</t>
  </si>
  <si>
    <t>1.2.7</t>
  </si>
  <si>
    <t>(Зээлийн эрсдэлийн сан)</t>
  </si>
  <si>
    <t>2.2.1.2.2</t>
  </si>
  <si>
    <t>1.2.8</t>
  </si>
  <si>
    <t>2.2.2</t>
  </si>
  <si>
    <t>Банк, санхүүгийн байгууллагаас авсан зээлийн хойшлогдсон төлбөр</t>
  </si>
  <si>
    <t>2.2.2.1</t>
  </si>
  <si>
    <t>1.3.1</t>
  </si>
  <si>
    <t xml:space="preserve">Дансны авлага /цэврээр/ </t>
  </si>
  <si>
    <t>2.2.2.2</t>
  </si>
  <si>
    <t>1.3.1.1</t>
  </si>
  <si>
    <t>2.2.3</t>
  </si>
  <si>
    <t>1.3.1.2</t>
  </si>
  <si>
    <t>2.2.3.1</t>
  </si>
  <si>
    <t>1.3.1.3</t>
  </si>
  <si>
    <t>2.2.3.2</t>
  </si>
  <si>
    <t>1.3.1.4</t>
  </si>
  <si>
    <t>(Авлагын эрсдэлийн сан)</t>
  </si>
  <si>
    <t>2.2.4</t>
  </si>
  <si>
    <t>1.3.2</t>
  </si>
  <si>
    <t>1.3.3</t>
  </si>
  <si>
    <t>2.3.1</t>
  </si>
  <si>
    <t>1.3.4</t>
  </si>
  <si>
    <t>2.3.2</t>
  </si>
  <si>
    <t>1.3.5</t>
  </si>
  <si>
    <t>Өмчлөх бусад санхүүгийн хөрөнгө /цэврээр/</t>
  </si>
  <si>
    <t>2.3.3</t>
  </si>
  <si>
    <t>1.3.6</t>
  </si>
  <si>
    <t>2.3.4</t>
  </si>
  <si>
    <t>2.3.5</t>
  </si>
  <si>
    <t>1.4.1</t>
  </si>
  <si>
    <t>1.4.2</t>
  </si>
  <si>
    <t>2.4.1</t>
  </si>
  <si>
    <t>1.4.3</t>
  </si>
  <si>
    <t>2.4.2</t>
  </si>
  <si>
    <t>1.4.4</t>
  </si>
  <si>
    <t>2.4.3</t>
  </si>
  <si>
    <t>1.4.5</t>
  </si>
  <si>
    <t>Өмчлөх бусад хөрөнгө /цэврээр/</t>
  </si>
  <si>
    <t>2.4.4</t>
  </si>
  <si>
    <t>1.4.5.1</t>
  </si>
  <si>
    <t>2.4.5</t>
  </si>
  <si>
    <t>1.4.5.2</t>
  </si>
  <si>
    <t>1.4.5.3</t>
  </si>
  <si>
    <t>2.5.1</t>
  </si>
  <si>
    <t>1.4.5.4</t>
  </si>
  <si>
    <t>2.5.2</t>
  </si>
  <si>
    <t>1.4.6</t>
  </si>
  <si>
    <t>2.5.3</t>
  </si>
  <si>
    <t>1.4.7</t>
  </si>
  <si>
    <t>Хөрөнгө оруулалтын зориулалттай үл хөдлөх хөрөнгө /цэврээр/</t>
  </si>
  <si>
    <t>2.5.4</t>
  </si>
  <si>
    <t>1.4.7.1</t>
  </si>
  <si>
    <t>1.4.7.2</t>
  </si>
  <si>
    <t>2.6.1</t>
  </si>
  <si>
    <t>1.4.7.3</t>
  </si>
  <si>
    <t>2.6.2</t>
  </si>
  <si>
    <t>1.4.8</t>
  </si>
  <si>
    <t>Үндсэн хөрөнгө /цэврээр/</t>
  </si>
  <si>
    <t>2.6.3</t>
  </si>
  <si>
    <t>1.4.8.1</t>
  </si>
  <si>
    <t>Үндсэн хөрөнгө</t>
  </si>
  <si>
    <t>1.4.8.2</t>
  </si>
  <si>
    <t>2.7.1</t>
  </si>
  <si>
    <t>1.4.8.3</t>
  </si>
  <si>
    <t>2.7.1.1</t>
  </si>
  <si>
    <t>Идэвхтэй гишүүний оруулсан хувь хөрөнгө</t>
  </si>
  <si>
    <t>1.4.9</t>
  </si>
  <si>
    <t>Биет бус хөрөнгө /цэврээр/</t>
  </si>
  <si>
    <t>2.7.1.2</t>
  </si>
  <si>
    <t>Идэвхгүй гишүүний оруулсан хувь хөрөнгө</t>
  </si>
  <si>
    <t>1.4.9.1</t>
  </si>
  <si>
    <t>Биет бус хөрөнгө</t>
  </si>
  <si>
    <t>2.7.2</t>
  </si>
  <si>
    <t>1.4.9.2</t>
  </si>
  <si>
    <t>2.7.2.1</t>
  </si>
  <si>
    <t>Хөрөнгийн дахин үнэлгээний нэмэгдэл</t>
  </si>
  <si>
    <t>1.4.9.3</t>
  </si>
  <si>
    <t>2.7.2.1.1</t>
  </si>
  <si>
    <t>2.7.2.1.2</t>
  </si>
  <si>
    <t>2.7.2.2</t>
  </si>
  <si>
    <t>2.7.2.3</t>
  </si>
  <si>
    <t>2.7.3</t>
  </si>
  <si>
    <t>ХОРШООЛОГЧДЫН ӨМЧ</t>
  </si>
  <si>
    <t>2.7.3.1</t>
  </si>
  <si>
    <t>2.7.3.2</t>
  </si>
  <si>
    <t>2.7.3.3</t>
  </si>
  <si>
    <t>2.7.3.4</t>
  </si>
  <si>
    <t>2.7.3.5</t>
  </si>
  <si>
    <t>2.7.3.6</t>
  </si>
  <si>
    <t>2.7.3.6.1</t>
  </si>
  <si>
    <t>2.7.3.6.2</t>
  </si>
  <si>
    <t xml:space="preserve"> </t>
  </si>
  <si>
    <t xml:space="preserve">ҮЙЛ АЖИЛЛАГААНЫ ҮР ДҮНГИЙН ТАЙЛАН </t>
  </si>
  <si>
    <t>ҮЗҮҮЛЭЛТҮҮД</t>
  </si>
  <si>
    <t>ХУВЬ</t>
  </si>
  <si>
    <t>ХҮҮГИЙН ОРЛОГО</t>
  </si>
  <si>
    <t>ХҮҮГИЙН ЗАРДАЛ</t>
  </si>
  <si>
    <t xml:space="preserve">Хүүгийн цэвэр орлого </t>
  </si>
  <si>
    <t>ЭРСДЭЛИЙН САНГИЙН ЗАРДАЛ</t>
  </si>
  <si>
    <t>Эрсдэлийн сангуудийн дараахь цэвэр орлого</t>
  </si>
  <si>
    <t>ХҮҮГИЙН БУС ОРЛОГО</t>
  </si>
  <si>
    <t>ҮЙЛ АЖИЛЛАГААНЫ БУСАД ОРЛОГО, ОЛЗ</t>
  </si>
  <si>
    <t>Үндсэн хөрөнгө ,биет бус хөрөнгийн үнэ цэний бууралтын буцаалтын орлого, олз</t>
  </si>
  <si>
    <t>VI</t>
  </si>
  <si>
    <t>ҮЙЛ АЖИЛЛАГААНЫ ЗАРДАЛ</t>
  </si>
  <si>
    <t>VII</t>
  </si>
  <si>
    <t>БУСАД ЗАРДАЛ, ГАРЗ</t>
  </si>
  <si>
    <t>VIII</t>
  </si>
  <si>
    <t>ТАТВАРЫН ӨМНӨХ ЦЭВЭР ОРЛОГО, АЛДАГДАЛ</t>
  </si>
  <si>
    <t xml:space="preserve"> Хойшлогдсон татварын зардал</t>
  </si>
  <si>
    <t>IX</t>
  </si>
  <si>
    <t>ТАТВАРЫН ДАРААХЬ ЦЭВЭР ОРЛОГО</t>
  </si>
  <si>
    <t>НИЙТ ОРЛОГО:</t>
  </si>
  <si>
    <t>НИЙТ ЗАРЛАГА:</t>
  </si>
  <si>
    <t>ЦЭВЭР ОРЛОГО</t>
  </si>
  <si>
    <t>"Хадгаламж, зээлийн хоршооны үйл ажиллагааны зохистой харьцааны шалгуур үзүүлэлт"-ийн  хавсралт 1</t>
  </si>
  <si>
    <t>ЗЭЭЛ ОЛГОЛТ, ЭРГЭН ТӨЛӨЛТ, ЗЭЭЛИЙН ЗОРИУЛАЛТ, ХҮҮГИЙН СУДАЛГАА</t>
  </si>
  <si>
    <t>ЗЭЭЛИЙН АНГИЛАЛ, ЗОРИУЛАЛТ</t>
  </si>
  <si>
    <t xml:space="preserve">Мөрийн дугаар </t>
  </si>
  <si>
    <t>Зээлийн эхний үлдэгдэл</t>
  </si>
  <si>
    <t>Шинээр олгосон зээл</t>
  </si>
  <si>
    <t>Төлөлт хийгдсэн зээл</t>
  </si>
  <si>
    <t>Хаагдсан зээл</t>
  </si>
  <si>
    <t>Зээлийн эрсдэлийн сангаас хаагдсан зээл</t>
  </si>
  <si>
    <t>Зээлийн эцсийн үлдэгдэл</t>
  </si>
  <si>
    <t>Нийт дүн</t>
  </si>
  <si>
    <t>Үүнээс: Эмэгтэй</t>
  </si>
  <si>
    <t>Дундаж хугацаа (сараар)</t>
  </si>
  <si>
    <t>ЖДХүү (сараар)</t>
  </si>
  <si>
    <t>Дээд хүү</t>
  </si>
  <si>
    <t>Доод хүү</t>
  </si>
  <si>
    <t>Мөнгөн дүн</t>
  </si>
  <si>
    <t>Дансны тоо</t>
  </si>
  <si>
    <t xml:space="preserve">Баганын дугаар </t>
  </si>
  <si>
    <t>НИЙТ ДҮН</t>
  </si>
  <si>
    <t>ХХХХ</t>
  </si>
  <si>
    <t>Бичил үйлдвэр, үйлчилгээ эрхлэгч</t>
  </si>
  <si>
    <t>Жижиг үйлдвэр, үйлчилгээ эрхлэгч</t>
  </si>
  <si>
    <t>Дунд үйлдвэр, үйлчилгээ эрхлэгч</t>
  </si>
  <si>
    <t>Хугацааны ангилал</t>
  </si>
  <si>
    <t>30 хоног хүртэл хугацаатай</t>
  </si>
  <si>
    <t>1-3 сарын хугацаатай олгосон зээл</t>
  </si>
  <si>
    <t>3-6 сарын хугацаатай олгосон зээл</t>
  </si>
  <si>
    <t>6-12 сарын хугацаатай олгосон зээл</t>
  </si>
  <si>
    <t>1-2 жилийн хугацаатай олгосон зээл</t>
  </si>
  <si>
    <t>2-5 жилийн хугацаатай олгосон зээл</t>
  </si>
  <si>
    <t>5-аас дээш жилийн хугацаатай олгосон зээл</t>
  </si>
  <si>
    <t>Чанарын ангилал</t>
  </si>
  <si>
    <t>Хэвийн зээл</t>
  </si>
  <si>
    <t>XXXX</t>
  </si>
  <si>
    <t>Анхаарал хандуулах зээл</t>
  </si>
  <si>
    <t>Хэвийн бус зээл</t>
  </si>
  <si>
    <t>Муу зээл</t>
  </si>
  <si>
    <t>Сан</t>
  </si>
  <si>
    <t>A</t>
  </si>
  <si>
    <t>ХӨДӨӨ АЖ АХУЙ, ОЙН АЖ АХУЙ, ЗАГАС БАРИЛТ, АН АГНУУР</t>
  </si>
  <si>
    <t xml:space="preserve">                      Үүнээс: а. Хөдөө аж ахуй</t>
  </si>
  <si>
    <t xml:space="preserve">                           б. Газар тариалан</t>
  </si>
  <si>
    <t>B</t>
  </si>
  <si>
    <t>УУЛ УУРХАЙ, ОЛБОРЛОЛТ</t>
  </si>
  <si>
    <t>C</t>
  </si>
  <si>
    <t>БОЛОВСРУУЛАХ ҮЙЛДВЭРЛЭЛ</t>
  </si>
  <si>
    <t>D</t>
  </si>
  <si>
    <t>ЦАХИЛГААН,ХИЙ, УУР, АГААРЖУУЛАЛТ</t>
  </si>
  <si>
    <t>E</t>
  </si>
  <si>
    <t>УС ХАНГАМЖ; СУВАГЖИЛТЫН СИСТЕМ, ХОГ ХАЯГДАЛ ЗАЙЛУУЛАХ БОЛОН
ХҮРЭЭЛЭН БУЙ ОРЧНЫГ ДАХИН СЭРГЭЭХ ҮЙЛ АЖИЛЛАГАА</t>
  </si>
  <si>
    <t>F</t>
  </si>
  <si>
    <t>БАРИЛГА</t>
  </si>
  <si>
    <t>G</t>
  </si>
  <si>
    <t>БӨӨНИЙ БОЛОН ЖИЖИГЛЭН ХУДАЛДАА, МАШИН, МОТОЦИКЛИЙН ЗАСВАР, ҮЙЛЧИЛГЭЭ</t>
  </si>
  <si>
    <t>H</t>
  </si>
  <si>
    <t>ТЭЭВЭР, АГУУЛАХЫН ҮЙЛ АЖИЛЛАГАА</t>
  </si>
  <si>
    <t>ЗОЧИД БУУДАЛ, БАЙР, СУУЦ БОЛОН НИЙТИЙН ХООЛНЫ ҮЙЛЧИЛГЭЭ</t>
  </si>
  <si>
    <t>J</t>
  </si>
  <si>
    <t>МЭДЭЭЛЭЛ, ХОЛБОО</t>
  </si>
  <si>
    <t>K</t>
  </si>
  <si>
    <t>САНХҮҮГИЙН БОЛОН ДААТГАЛЫН ҮЙЛ АЖИЛЛАГАА</t>
  </si>
  <si>
    <t>L</t>
  </si>
  <si>
    <t>ҮЛ ХӨДЛӨХ ХӨРӨНГИЙН ҮЙЛ АЖИЛЛАГАА</t>
  </si>
  <si>
    <t>M</t>
  </si>
  <si>
    <t>МЭРГЭЖЛИЙН, ШИНЖЛЭХ УХААН БОЛОН ТЕХНИКИЙН ҮЙЛ АЖИЛЛАГАА</t>
  </si>
  <si>
    <t>N</t>
  </si>
  <si>
    <t>УДИРДЛАГЫН БОЛОН ДЭМЖЛЭГ ҮЗҮҮЛЭХ ҮЙЛ АЖИЛЛАГАА</t>
  </si>
  <si>
    <t>O</t>
  </si>
  <si>
    <t>ТӨРИЙН УДИРДЛАГА, БАТЛАН ХАМГААЛАХ ҮЙЛ АЖИЛЛАГАА, АЛБАН ЖУРМЫН НИЙГМИЙН ХАМГААЛАЛ</t>
  </si>
  <si>
    <t>P</t>
  </si>
  <si>
    <t>БОЛОВСРОЛ</t>
  </si>
  <si>
    <t xml:space="preserve">                      Үүнээс: Сургалтын зээл (дотоод)</t>
  </si>
  <si>
    <t>Q</t>
  </si>
  <si>
    <t>ХҮНИЙ ЭРҮҮЛ МЭНД, НИЙГМИЙН ХАЛАМЖИЙН ҮЙЛ АЖИЛЛАГАА</t>
  </si>
  <si>
    <t xml:space="preserve">                      Үүнээс: Эмчилгээний төлбөрийн зээл (дотоод)</t>
  </si>
  <si>
    <t>R</t>
  </si>
  <si>
    <t xml:space="preserve">УРЛАГ, ҮЗВЭР, ТОГЛООМ НААДАМ </t>
  </si>
  <si>
    <t>S</t>
  </si>
  <si>
    <t>ҮЙЛЧИЛГЭЭНИЙ БУСАД ҮЙЛ АЖИЛЛАГАА</t>
  </si>
  <si>
    <t>T</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</si>
  <si>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</si>
  <si>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U</t>
  </si>
  <si>
    <t>ОЛОН УЛСЫН БАЙГУУЛЛАГА, СУУРИН ТӨЛӨӨЛӨГЧИЙН ҮЙЛ АЖИЛЛАГАА</t>
  </si>
  <si>
    <t>БУСАД /иргэн/</t>
  </si>
  <si>
    <t>Цалингийн зээл</t>
  </si>
  <si>
    <t>Тэтгэврийн зээл</t>
  </si>
  <si>
    <t>Картын зээл</t>
  </si>
  <si>
    <t>Автомашины зээл</t>
  </si>
  <si>
    <t>Өрхийн хэрэглээнд зориулсан зээл</t>
  </si>
  <si>
    <t>Эмчилгээний төлбөрийн зээл (гадаад)</t>
  </si>
  <si>
    <t>Сургалтын зээл (гадаад)</t>
  </si>
  <si>
    <t>Малчны зээл</t>
  </si>
  <si>
    <t>Хадгаламж барьцаалсан зээл</t>
  </si>
  <si>
    <t>Судалгааны маягтыг бөглөх дарааллын товч заавар:</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</si>
  <si>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t>
    </r>
    <r>
      <rPr>
        <sz val="10"/>
        <color rgb="FFFF0000"/>
        <rFont val="Times New Roman"/>
        <family val="1"/>
      </rPr>
      <t>3.2%</t>
    </r>
    <r>
      <rPr>
        <sz val="10"/>
        <rFont val="Times New Roman"/>
        <family val="1"/>
      </rPr>
      <t xml:space="preserve"> | буруу 0.32%, 0.032% </t>
    </r>
  </si>
  <si>
    <r>
      <t xml:space="preserve">2/ Зээлийн дүнг зээлийн зориулалт тус бүрд харгалзах нийлбэр дүнгээр тооцож тайлагнана. </t>
    </r>
    <r>
      <rPr>
        <b/>
        <sz val="10"/>
        <color theme="1"/>
        <rFont val="Times New Roman"/>
        <family val="1"/>
      </rPr>
      <t>Эдийн засгийн бүх төрлийн үйл ажиллагааны салбарын ангилал</t>
    </r>
    <r>
      <rPr>
        <sz val="10"/>
        <color theme="1"/>
        <rFont val="Times New Roman"/>
        <family val="1"/>
      </rPr>
      <t>тай холбоотой мэдээллийг дараах холбоосоор авна уу!</t>
    </r>
  </si>
  <si>
    <t>https://legalinfo.mn/mn/detail/14299/2/209675</t>
  </si>
  <si>
    <r>
      <t xml:space="preserve">3/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</si>
  <si>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4/ </t>
    </r>
    <r>
      <rPr>
        <b/>
        <sz val="10"/>
        <rFont val="Times New Roman"/>
        <family val="1"/>
      </rPr>
      <t>"Дээд, доод хүү"</t>
    </r>
    <r>
      <rPr>
        <sz val="10"/>
        <rFont val="Times New Roman"/>
        <family val="1"/>
      </rPr>
      <t>-г тайлант хугацаанд үлдэгдэлтэй нийт зээлийн хүүгээр тооцно.</t>
    </r>
  </si>
  <si>
    <r>
      <t xml:space="preserve">5/ </t>
    </r>
    <r>
      <rPr>
        <b/>
        <sz val="10"/>
        <color theme="1"/>
        <rFont val="Times New Roman"/>
        <family val="1"/>
      </rPr>
      <t>"Зээлийн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</si>
  <si>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6/ </t>
    </r>
    <r>
      <rPr>
        <b/>
        <sz val="10"/>
        <color theme="1"/>
        <rFont val="Times New Roman"/>
        <family val="1"/>
      </rPr>
      <t>"Дансны тоо"</t>
    </r>
    <r>
      <rPr>
        <sz val="10"/>
        <color theme="1"/>
        <rFont val="Times New Roman"/>
        <family val="2"/>
        <charset val="1"/>
      </rPr>
      <t xml:space="preserve"> хэсэгт зээлийн бүтээгдэхүүн тус бүрийн дансны тоогоор тайлагнах тул нийт дансны тоо статистик мэдээллийн зээлдэгчдийн тоотой тэнцүү байх шаардлагагүйг анхаарна уу!</t>
    </r>
  </si>
  <si>
    <r>
      <t>7/</t>
    </r>
    <r>
      <rPr>
        <b/>
        <sz val="10"/>
        <color theme="1"/>
        <rFont val="Times New Roman"/>
        <family val="1"/>
      </rPr>
      <t xml:space="preserve"> "XXXX"</t>
    </r>
    <r>
      <rPr>
        <sz val="10"/>
        <color theme="1"/>
        <rFont val="Times New Roman"/>
        <family val="2"/>
        <charset val="1"/>
      </rPr>
      <t>-ээр тэмдэглэсэн хэсгийг нөхөхгүй.</t>
    </r>
  </si>
  <si>
    <r>
      <t xml:space="preserve">8/ </t>
    </r>
    <r>
      <rPr>
        <b/>
        <sz val="10"/>
        <rFont val="Times New Roman"/>
        <family val="1"/>
      </rPr>
      <t>ЗОЭТЗЗХС</t>
    </r>
    <r>
      <rPr>
        <sz val="10"/>
        <rFont val="Times New Roman"/>
        <family val="1"/>
      </rPr>
      <t xml:space="preserve"> тайланд хуулийн этгээдийг ангилахдаа</t>
    </r>
    <r>
      <rPr>
        <b/>
        <sz val="10"/>
        <rFont val="Times New Roman"/>
        <family val="1"/>
      </rPr>
      <t xml:space="preserve"> Жижиг, дунд үйлдвэр, үйлчилгээг дэмжих тухай хуульд</t>
    </r>
    <r>
      <rPr>
        <sz val="10"/>
        <rFont val="Times New Roman"/>
        <family val="1"/>
      </rPr>
      <t xml:space="preserve">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r>
  </si>
  <si>
    <r>
      <t>9/</t>
    </r>
    <r>
      <rPr>
        <b/>
        <sz val="10"/>
        <rFont val="Times New Roman"/>
        <family val="1"/>
      </rPr>
      <t xml:space="preserve"> "Зээлийн эхний үлдэгдэл"</t>
    </r>
    <r>
      <rPr>
        <sz val="10"/>
        <rFont val="Times New Roman"/>
        <family val="1"/>
      </rPr>
      <t xml:space="preserve"> хэсэгт өмнөх оны жилийн эцсийн үлдэгдэл бичигдэнэ. </t>
    </r>
    <r>
      <rPr>
        <b/>
        <sz val="10"/>
        <rFont val="Times New Roman"/>
        <family val="1"/>
      </rPr>
      <t>"Шинээр олгосон зээл"</t>
    </r>
    <r>
      <rPr>
        <sz val="10"/>
        <rFont val="Times New Roman"/>
        <family val="1"/>
      </rPr>
      <t xml:space="preserve"> хэсэгт тайлант хугацаанд олгогдсон нийт зээлийн дүн бичигдэнэ. </t>
    </r>
    <r>
      <rPr>
        <b/>
        <sz val="10"/>
        <rFont val="Times New Roman"/>
        <family val="1"/>
      </rPr>
      <t>"Төлөлт хийгдсэн зээл"</t>
    </r>
    <r>
      <rPr>
        <sz val="10"/>
        <rFont val="Times New Roman"/>
        <family val="1"/>
      </rPr>
      <t xml:space="preserve"> хэсэгт хаагдсан зээлийн дүнг хасаж зөвхөн тайлант хугацаанд төлөлт хийгдсэн зээлийн дүн бичигдэнэ. </t>
    </r>
  </si>
  <si>
    <r>
      <t xml:space="preserve">10/ Зээлийн хугацаагаар ангилсан дүнг шивснээр </t>
    </r>
    <r>
      <rPr>
        <b/>
        <sz val="10"/>
        <rFont val="Times New Roman"/>
        <family val="1"/>
      </rPr>
      <t xml:space="preserve">ALM </t>
    </r>
    <r>
      <rPr>
        <sz val="10"/>
        <rFont val="Times New Roman"/>
        <family val="1"/>
      </rPr>
      <t>тайлангийн зээлийн ангиллын дүн татагдахыг анхаарна уу.</t>
    </r>
  </si>
  <si>
    <t>11/ Зээлийн чанарын ангилал буурсан тохиолдолд холбогдох ангиллын шинээр олгосон зээл хэсэгт нэмж, мөн дүнгээр тухайн ангиллын төлөлт хийгдсэн зээл хэсэгт нөхнө үү.</t>
  </si>
  <si>
    <t>12/ Тайлант хугацаанд нэмж байгуулсан зээлийн эрсдэлийн сангийн дүнг нэмж олгосон зээл хэсэгт нөхнө үү.</t>
  </si>
  <si>
    <t xml:space="preserve">13/ Зээлийн хугацааны ангиллыг нөхөхдөө зээлийн гэрээний хугацаа 6 сар бол 3-6 сар хугацаатай ангилалд оруулан бүртгэнэ. </t>
  </si>
  <si>
    <t xml:space="preserve">14/ Зээлдэгчийн зээлийн үлдэгдэлд нэмж зээл олгосон тохиолдолд "Шинээр олгосон зээл" хэсэгт зээлийн дүнг нөхөж, зээлдэгчийн дансны тоог нөхөхгүй. </t>
  </si>
  <si>
    <t>НОГООН ЗЭЭЛИЙН СУДАЛГААНЫ ТАЙЛАН</t>
  </si>
  <si>
    <t>Д/д</t>
  </si>
  <si>
    <t>ҮЙЛ АЖИЛЛАГААНЫ ЧИГЛЭЛ</t>
  </si>
  <si>
    <t>Мөрийн дугаар</t>
  </si>
  <si>
    <t>Дундаж хугацаа /сараар/</t>
  </si>
  <si>
    <t xml:space="preserve"> ЖДХүү</t>
  </si>
  <si>
    <t>Баганын дугаар</t>
  </si>
  <si>
    <t>НИЙТ</t>
  </si>
  <si>
    <t>А</t>
  </si>
  <si>
    <t>Б</t>
  </si>
  <si>
    <t>В</t>
  </si>
  <si>
    <t>Г</t>
  </si>
  <si>
    <t>Д</t>
  </si>
  <si>
    <t>Е</t>
  </si>
  <si>
    <t>Сэргээгдэх эрчим хүч</t>
  </si>
  <si>
    <t>Салхи</t>
  </si>
  <si>
    <t>Эрчим хүчний үүсгүүр</t>
  </si>
  <si>
    <t>Нар</t>
  </si>
  <si>
    <t>Цахилгаан үүсгүүр (PV &amp; CSP)</t>
  </si>
  <si>
    <t>Жижиг хэмжээний нарны цахилгаан үүсгүүр</t>
  </si>
  <si>
    <t>Нарны коллектор</t>
  </si>
  <si>
    <t>Газрын гүний дулаан</t>
  </si>
  <si>
    <t>Дулаан болон цахилгаан эрчим хүч үүсгэх төхөөрөмжүүд</t>
  </si>
  <si>
    <t>Усан</t>
  </si>
  <si>
    <t>Бага ба дунд чадлын усан цахилгаан станцууд</t>
  </si>
  <si>
    <t>1.5.1</t>
  </si>
  <si>
    <t>Бусад дулаан үүсгэх төхөөрөмжүүд</t>
  </si>
  <si>
    <t>Сэргээгдэх эрчим хүч үйлдвэрлэх тоног төхөөрөмж, сүлжээний туслах дэд бүтэц</t>
  </si>
  <si>
    <t>1.6.1</t>
  </si>
  <si>
    <t xml:space="preserve">Сэргээгдэх эрчим хүчний тоног төхөөрөмжийн үйлдвэрлэл </t>
  </si>
  <si>
    <t>1.6.2</t>
  </si>
  <si>
    <t>Сэргээгдэх эрчим хүч дамжуулах шугамууд болон туслах дэд бүтэц</t>
  </si>
  <si>
    <t>1.6.3</t>
  </si>
  <si>
    <t>Сэргээгдэх эрчим хүчний хураагуурын систем</t>
  </si>
  <si>
    <t>Бага бохирдуулагч эрчим хүч</t>
  </si>
  <si>
    <t>Био эрчим хүч</t>
  </si>
  <si>
    <t>Био түлш үйлдвэрлэх төхөөрөмжүүд (хэрэгслүүд)</t>
  </si>
  <si>
    <t>2.1.2</t>
  </si>
  <si>
    <t xml:space="preserve">Дулааны болон цахилгаан эрчим хүч үйлдвэрлэх </t>
  </si>
  <si>
    <t>Нүүрс орлуулах эрчим хүчний үүсвэрүүд</t>
  </si>
  <si>
    <t xml:space="preserve">Хийн түлш ашиглан цахилгаан болон дулаан үйлдвэрлэх </t>
  </si>
  <si>
    <t>Хог хаягдлаас цахилгаан эрчим хүч үйлдвэрлэх</t>
  </si>
  <si>
    <t>Хог хаягдлаас цахилгаан эрчим хүч үйлдвэрлэх цахилгаан станц</t>
  </si>
  <si>
    <t>Түлш орлуулах</t>
  </si>
  <si>
    <t>Эрчим хүчний салбарт түлш орлуулах</t>
  </si>
  <si>
    <t>Тээврийн хэрэгслийг цэнэглэхэд зориулсан болон түлш орлуулах дэд бүтэц</t>
  </si>
  <si>
    <t>Эрчим хүчний хэмнэлт</t>
  </si>
  <si>
    <t>Одоо байгаа үйлдвэрлэлийн байгууламжуудын эрчим хүчний үр ашгийг нэмэгдүүлэх</t>
  </si>
  <si>
    <t>3.1.1</t>
  </si>
  <si>
    <t>Эрчим хүчний хэмнэлттэй тоног төхөөрөмж болон технологийн сайжруулалт</t>
  </si>
  <si>
    <t>3.1.2</t>
  </si>
  <si>
    <t xml:space="preserve">Дулааны цахилгаан станц/когенераци, тригенераци төхөөрөмж суурилуулах </t>
  </si>
  <si>
    <t>3.1.3</t>
  </si>
  <si>
    <t>Цахилгаан дамжуулах болон хуваарилах системийн эрчим хүчний үр ашгийг дээшлүүлэх</t>
  </si>
  <si>
    <t>3.1.4</t>
  </si>
  <si>
    <t>Төвлөрсөн дулааны системүүд</t>
  </si>
  <si>
    <t>Хэрэглээний болон олон олон нийтийн үйлчилгээний салбаруудын эрчим хүчний үр ашгийг нэмэгдүүлэх</t>
  </si>
  <si>
    <t>3.2.1</t>
  </si>
  <si>
    <t>Эрчим хүчний хэмнэлттэй гэрэлтүүлэг, тоног төхөөрөмж</t>
  </si>
  <si>
    <t>3.2.2</t>
  </si>
  <si>
    <t>Эрчим хүчний хэмнэлттэй бүтээгдэхүүнүүд (эцсийн хэрэглэгчдэд зориулсан)</t>
  </si>
  <si>
    <t>3.2.3</t>
  </si>
  <si>
    <t>Эрчим хүч хэмнэх үйлчилгээ</t>
  </si>
  <si>
    <t>Эрчим хүчний хэмнэлттэй барилга</t>
  </si>
  <si>
    <t>3.3.1</t>
  </si>
  <si>
    <t>Эрчим хүчний хэмнэлттэй шинэ барилга барих</t>
  </si>
  <si>
    <t>3.3.2</t>
  </si>
  <si>
    <t>Одоо байгаа арилжааны, нийтийн, орон сууцны болон үйлдвэрлэлийн барилгын эрчим хүчний үр ашгийг дээшлүүлэх</t>
  </si>
  <si>
    <t>Ногоон барилга</t>
  </si>
  <si>
    <t>4.1.1</t>
  </si>
  <si>
    <t>Ногоон барилга барих (арилжааны, нийтийн, орон сууцны болон үйлдвэрлэлийн барилгын)</t>
  </si>
  <si>
    <t>Ногоон барилгын материалууд болон бүтээгдэхүүнүүд</t>
  </si>
  <si>
    <t>4.2.1</t>
  </si>
  <si>
    <t>Ногоон барилгын материалууд болон бүтээгдэхүүн үйлдвэрлэл</t>
  </si>
  <si>
    <t>Ногоон дэд бүтэц</t>
  </si>
  <si>
    <t>4.3.1</t>
  </si>
  <si>
    <t>4.3.2</t>
  </si>
  <si>
    <t>Гэр хорооллыг сайжруулах</t>
  </si>
  <si>
    <t>Бохирдлоос сэргийлэх, бууруулах үйл ажиллагаа</t>
  </si>
  <si>
    <t>Агаарын чанар</t>
  </si>
  <si>
    <t>5.1.1</t>
  </si>
  <si>
    <t>Үйлдвэрлэлийн үйл ажиллагаанаас үүдэлтэй агаарын бохирдлыг бууруулах, дахин боловсруулах байгууламжууд</t>
  </si>
  <si>
    <t>5.1.2</t>
  </si>
  <si>
    <t xml:space="preserve">Гэр ахуй болон бичил, жижиг дунд бизнес эрхлэгчдэд зориулсан халаагуурын тоног төхөөрөмжүүд </t>
  </si>
  <si>
    <t>5.1.3</t>
  </si>
  <si>
    <t>Нүүрстөрөгчийг ангилан хадгалах технологи</t>
  </si>
  <si>
    <t>Хөрс</t>
  </si>
  <si>
    <t>5.2.1</t>
  </si>
  <si>
    <t>Хөрсний бохирдол бууруулах болон сэргээх байгууламж болон дэд бүтэц</t>
  </si>
  <si>
    <t>5.2.2</t>
  </si>
  <si>
    <t>Гэр хороолол, жуулчны бааз болон жижиг бизнесүүдэд зориулсан зөөврийн болон эко жорлонгийн шийдлүүд</t>
  </si>
  <si>
    <t>Тогтвортой ус, хаягдлын хэрэглээ</t>
  </si>
  <si>
    <t xml:space="preserve">Тогтвортой ус ашиглалт болон ус хэмнэх </t>
  </si>
  <si>
    <t>6.1.1</t>
  </si>
  <si>
    <t>Ус хэмнэх, хэрэглээг хянах, хадгалах, хуваарилах технологи болон системүүд</t>
  </si>
  <si>
    <t>6.1.2</t>
  </si>
  <si>
    <t>Уламжлалт бус, шинэлэг технологитой усыг дахин ашиглах байгууламжууд</t>
  </si>
  <si>
    <t>Хог хаягдал болон хаягдал ус</t>
  </si>
  <si>
    <t>6.2.1</t>
  </si>
  <si>
    <t>Хатуу хог хаягдлыг боловсруулах байгууламжууд</t>
  </si>
  <si>
    <t>6.2.2</t>
  </si>
  <si>
    <t>Хаягдал цуглуулах, ангилах болон нөхөн сэргээх, дахин боловсруулах байгууламжууд</t>
  </si>
  <si>
    <t>6.2.3</t>
  </si>
  <si>
    <t xml:space="preserve">Органик нэгдлийг задлах байгууламжууд </t>
  </si>
  <si>
    <t>6.2.4</t>
  </si>
  <si>
    <t>Хаягдал ус цэвэрлэх байгууламжууд</t>
  </si>
  <si>
    <t>Нөөцийн хэмнэлт болон сэргээх байгууламж</t>
  </si>
  <si>
    <t>6.3.1</t>
  </si>
  <si>
    <t>Түүхий эд материал ашиглалтыг багасгах, ногоон болгох</t>
  </si>
  <si>
    <t>Тогтвортой хөдөө аж ахуй, газар ашиглалт, ой болон эко аялал жуулчлал</t>
  </si>
  <si>
    <t>Тогтвортой хөдөө аж ахуй</t>
  </si>
  <si>
    <t>7.1.1</t>
  </si>
  <si>
    <t>Органик хөдөө аж ахуй болон мал аж ахуйн бүтээгдэхүүнүүд</t>
  </si>
  <si>
    <t>7.1.2</t>
  </si>
  <si>
    <t xml:space="preserve">Тогтвортой нэхмэлийн боловсруулалт ба үйлдвэрлэл </t>
  </si>
  <si>
    <t>7.1.3</t>
  </si>
  <si>
    <t>Тогтвортой бэлчээрийн ашиглалт болон мал аж ахуй</t>
  </si>
  <si>
    <t>Тогтвортой ойн менежмент болон ойг хамгаалах</t>
  </si>
  <si>
    <t>7.2.1</t>
  </si>
  <si>
    <t>Ойжуулах болон эргэн ойжуулах үйл ажиллагаа</t>
  </si>
  <si>
    <t>7.2.2</t>
  </si>
  <si>
    <t>Тогтвортой ойн менежмент</t>
  </si>
  <si>
    <t>7.2.3</t>
  </si>
  <si>
    <t>Тогтвортой байдлаар түлээ бэлтгэх мөн үртэс боловсруулах үйлдвэрлэл</t>
  </si>
  <si>
    <t>7.2.4</t>
  </si>
  <si>
    <t>Биологийн олон янз байдал болон экосистемийг хамгаалалт</t>
  </si>
  <si>
    <t>7.2.5</t>
  </si>
  <si>
    <t>Газрын менежмент</t>
  </si>
  <si>
    <t>Эко аялал жуулчлал</t>
  </si>
  <si>
    <t>7.3.1</t>
  </si>
  <si>
    <t>Эко аялал жуулчлалыг дэмжихэд чиглэсэн бүтээгдэхүүн үйлчилгээнүүд</t>
  </si>
  <si>
    <t>7.3.2</t>
  </si>
  <si>
    <t>Тогтвортой зочид буудал, жуулчны баазын менежмент</t>
  </si>
  <si>
    <t>Карбон бага тээвэр</t>
  </si>
  <si>
    <t>Нүүрсхүчлийн хий бага ялгаруулдаг тээврийн хэрэгсэл худалдан авах</t>
  </si>
  <si>
    <t>8.1.1</t>
  </si>
  <si>
    <t>Нүүрс хүчлийн хий бага ялгаруулдаг тээврийн хэрэгсэл худалдан авах</t>
  </si>
  <si>
    <t>8.1.2</t>
  </si>
  <si>
    <t>Нүүрсхүчлийн хий бага ялгаруулдаг үйлдвэрлэлийн сүлжээний төхөөрөмжүүд</t>
  </si>
  <si>
    <t>Нүүрсхүчлийн хий бага ялгаруулдаг ачааны болон карго тээвэрлэлт</t>
  </si>
  <si>
    <t>8.2.1</t>
  </si>
  <si>
    <t>Цэвэр тээврийн дэд бүтэц</t>
  </si>
  <si>
    <t>8.3.1</t>
  </si>
  <si>
    <t>Олон нийтийн тээврийн хэрэгслийн дэд бүтэц</t>
  </si>
  <si>
    <t>8.3.2</t>
  </si>
  <si>
    <t>Нүүрс хүчлийн хий бага ялгаруулдаг тээврийн хэрэгслийн дэд бүтэц</t>
  </si>
  <si>
    <t>8.3.3</t>
  </si>
  <si>
    <t>Нүүрс хүчлийн хий бага ялгаруулдаг тээврийн хэрэгслийн төлөвлөгөө</t>
  </si>
  <si>
    <t>Цэвэр тээврийн ухаалаг технологи</t>
  </si>
  <si>
    <t>8.4.1</t>
  </si>
  <si>
    <t>Тээврийн хэрэгслийн горимоос үл хамааран ашигт байдал, замын урсгал болон ачааллыг бууруулдаг ухаалаг технологи</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</si>
  <si>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3.2% | буруу 0.32%, 0.032% </t>
    </r>
  </si>
  <si>
    <t>2/ Зээлийн дүнг зээлийн зориулалт тус бүрд харгалзах нийлбэр дүнгээр тооцож тайлагнана. Ногоон зээлийн ангилалтай холбоотой мэдээллийг дараах холбоосоор авна уу!</t>
  </si>
  <si>
    <t>https://www.toc.mn/publication/mongol-ulsyn-nogoon-taksonomi</t>
  </si>
  <si>
    <t>7/ Тус судалгааг зөвхөн ногоон зээлийн бүтээгдэхүүн, үйлчилгээтэй тохиолдолд холбогдох ангиллын дагуу нөхөхийг анхаарна уу!</t>
  </si>
  <si>
    <t>"Хадгаламж, зээлийн хоршооны үйл ажиллагааны зохистой харьцааны 
шалгуур үзүүлэлт"-ийн  хавсралт 2</t>
  </si>
  <si>
    <t>ХАДГАЛАМЖИЙН ХҮҮГИЙН СУДАЛГАА</t>
  </si>
  <si>
    <t>Хугацаагүй хадгаламжийн бүтээгдэхүүн</t>
  </si>
  <si>
    <t>Хугацаагүй хадгаламжийн эхний үлдэгдэл</t>
  </si>
  <si>
    <t>Тайлант хугацаанд татан төвлөрүүлсэн хугацаагүй хадгаламжийн дүн</t>
  </si>
  <si>
    <t>Сарын нэрлэсэн хүү /хувиар/</t>
  </si>
  <si>
    <t>Хуримтлагдсан хүүгийн дүн</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</si>
  <si>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</si>
  <si>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</si>
  <si>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</si>
  <si>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</si>
  <si>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</si>
  <si>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1.Иргэн</t>
  </si>
  <si>
    <t xml:space="preserve">Дүн </t>
  </si>
  <si>
    <t xml:space="preserve">2.Хуулийн этгээд </t>
  </si>
  <si>
    <t>Хугацаатай хадгаламжийн бүтээгдэхүүн</t>
  </si>
  <si>
    <t>Хугацаатай хадгаламжийн эхний үлдэгдэл</t>
  </si>
  <si>
    <t>Тоо</t>
  </si>
  <si>
    <t xml:space="preserve">Тайлан хугацаанд татан төвлөрүүлсэн хугацаатай хадгаламжийн дүн </t>
  </si>
  <si>
    <t>Хугацаатай хадгаламжийн эцсийн үлдэгдэл</t>
  </si>
  <si>
    <t>3.Иргэн</t>
  </si>
  <si>
    <t>4.Хуулийн этгээд</t>
  </si>
  <si>
    <t>5. Хадгаламж, хугацааны ангиллаар</t>
  </si>
  <si>
    <t>30 хоног хүртэл  хугацаатай хадгаламж</t>
  </si>
  <si>
    <t>1-3 сарын хугацаатай хадгаламж</t>
  </si>
  <si>
    <t>3-6 сарын хугацаатай хадгаламж</t>
  </si>
  <si>
    <t>6-12 сарын хугацаатай хадгаламж</t>
  </si>
  <si>
    <t>1-2 жилийн хугацаатай хадгаламж</t>
  </si>
  <si>
    <t>2-5 жилийн хугацаатай хадгаламж</t>
  </si>
  <si>
    <t>5-аас дээш жилийн хугацаатай хадгаламж</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</si>
  <si>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хугацаанд татан төвлөрүүлсэн хадгаламжийн хүүг үндэслэл болгоно. Хадгаламжийн хүүг аравт, зуутын орноор нөхөхгүй. Жишээ нь: гурав аравны хоёр хувийн хүүтэй бол зөв 3.2% | буруу 0.32%, 0.032% </t>
    </r>
  </si>
  <si>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</si>
  <si>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</si>
  <si>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</si>
  <si>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</si>
  <si>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r>
      <t xml:space="preserve">6/ </t>
    </r>
    <r>
      <rPr>
        <b/>
        <sz val="10"/>
        <color theme="1"/>
        <rFont val="Times New Roman"/>
        <family val="1"/>
      </rPr>
      <t>"Хадгаламжийн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</si>
  <si>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7/ </t>
    </r>
    <r>
      <rPr>
        <b/>
        <sz val="10"/>
        <color theme="1"/>
        <rFont val="Times New Roman"/>
        <family val="1"/>
      </rPr>
      <t>"Дансны тоо"</t>
    </r>
    <r>
      <rPr>
        <sz val="10"/>
        <color theme="1"/>
        <rFont val="Times New Roman"/>
        <family val="2"/>
        <charset val="1"/>
      </rPr>
      <t xml:space="preserve"> хэсэгт хадгаламжийн бүтээгдэхүүн тус бүрийн дансны тоогоор тайлагнах тул нийт дансны тоо статистик мэдээллийн хадгаламж эзэмшигчдийн тоотой тэнцүү байх шаардлагагүйг анхаарна уу!'</t>
    </r>
  </si>
  <si>
    <r>
      <t xml:space="preserve">8/ </t>
    </r>
    <r>
      <rPr>
        <b/>
        <sz val="10"/>
        <color theme="1"/>
        <rFont val="Times New Roman"/>
        <family val="1"/>
      </rPr>
      <t xml:space="preserve">"Хадгаламжийн хугацааны ангилал" </t>
    </r>
    <r>
      <rPr>
        <sz val="10"/>
        <color theme="1"/>
        <rFont val="Times New Roman"/>
        <family val="1"/>
      </rPr>
      <t xml:space="preserve">хэсгийг нөхөхдөө хадгаламжийн гэрээнд заагдсан хугацаагаар ангилан бүртгэнэ. Хугацаагаар ангилсан хадгаламжийн эцсийн үлдэгдэл дүн </t>
    </r>
    <r>
      <rPr>
        <b/>
        <sz val="10"/>
        <color theme="1"/>
        <rFont val="Times New Roman"/>
        <family val="1"/>
      </rPr>
      <t>"Гүйлгээ үлдэгдлийн тайлан тэнцэл"</t>
    </r>
    <r>
      <rPr>
        <sz val="10"/>
        <color theme="1"/>
        <rFont val="Times New Roman"/>
        <family val="1"/>
      </rPr>
      <t xml:space="preserve"> дэх хугацаатай хадгаламжийн ангиллын дүнтэй тэнцүү байх ёстойг анхаарна уу!</t>
    </r>
  </si>
  <si>
    <r>
      <t xml:space="preserve">9/ </t>
    </r>
    <r>
      <rPr>
        <b/>
        <sz val="10"/>
        <color theme="1"/>
        <rFont val="Times New Roman"/>
        <family val="1"/>
      </rPr>
      <t>"Хадгаламжийн эхний үлдэгдэл"</t>
    </r>
    <r>
      <rPr>
        <sz val="10"/>
        <color theme="1"/>
        <rFont val="Times New Roman"/>
        <family val="1"/>
      </rPr>
      <t xml:space="preserve"> дүнд өмнөх оны жилийн эцсийн үлдэгдэл дүн бичигдэнэ. </t>
    </r>
    <r>
      <rPr>
        <b/>
        <sz val="10"/>
        <color theme="1"/>
        <rFont val="Times New Roman"/>
        <family val="1"/>
      </rPr>
      <t>"Тайлант хугацаанд татан төвлөрүүлсэн хадгаламжийн дүн"</t>
    </r>
    <r>
      <rPr>
        <sz val="10"/>
        <color theme="1"/>
        <rFont val="Times New Roman"/>
        <family val="1"/>
      </rPr>
      <t xml:space="preserve"> хэсэгт тайлант хугацаанд татан төвлөрүүлсэн нийт хадгаламжийн дүн бичигдэнэ. </t>
    </r>
  </si>
  <si>
    <t>10/ Гишүүн хуулийн этгээдгүй тохиолдолд хуулийн этгээдээс хадгаламж татан төвлөрүүлснээр тайлагнахгүй байхад анхаарна уу!</t>
  </si>
  <si>
    <t>шалгуур үзүүлэлт"-ийн  хавсралт 3</t>
  </si>
  <si>
    <t xml:space="preserve"> 40 ТОМ ЗЭЭЛДЭГЧИД ОЛГОСОН ЗЭЭЛ, ЗЭЭЛТЭЙ АДИЛТГАН ТООЦОХ БУСАД ХӨРӨНГИЙН ТАЙЛАН</t>
  </si>
  <si>
    <t>Зээлдэгчийн мэдээлэл</t>
  </si>
  <si>
    <t>Зээл, зээлтэй адилтган тооцох бусад хөрөнгө /актив/-ийн эхний үлдэгдэл</t>
  </si>
  <si>
    <t>Зээлийн хүү /сараар/</t>
  </si>
  <si>
    <t>Зориулалт</t>
  </si>
  <si>
    <t>Олгосон огноо
[СС/ӨӨ/ОООО]</t>
  </si>
  <si>
    <t>Төлөгдөх хугацаа
[СС/ӨӨ/ОООО]</t>
  </si>
  <si>
    <t>Хугацаа сунгасан төлөгдөх огноо
[СС/ӨӨ/ОООО]</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</si>
  <si>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</si>
  <si>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</si>
  <si>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</si>
  <si>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</si>
  <si>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</si>
  <si>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1 зээлдэгчид олгосон нийт зээлийн үлдэгдэл</t>
  </si>
  <si>
    <t>1 зээлдэгчид олгосон нийт зээлийн өөрийн хөрөнгөд  эзлэх хувь</t>
  </si>
  <si>
    <t>Нэр</t>
  </si>
  <si>
    <t>Регистр</t>
  </si>
  <si>
    <t>Хүйс</t>
  </si>
  <si>
    <t>Хамгийн том зээл, бүтээгдэхүүнээр:</t>
  </si>
  <si>
    <t>Хамгийн том зээлдэгч:</t>
  </si>
  <si>
    <t>1/ Зээлдэгчийн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</si>
  <si>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t>2/ Зээлдэгчийн хүйс, зээлийн зориулалт, барьцаа хөрөнгийн төрөл болон активын ангилал нь сонгох утга тул аль тохирохыг сонгож тайлагнана.</t>
  </si>
  <si>
    <t xml:space="preserve">3/ Зээлийн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</si>
  <si>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Зээлдэгчдийн тоо 40 болон түүнээс цөөн тохиолдолд бүх зээлдэгчийн мэдээллийг тайлагнах бөгөөд 40-өөс дээш бол хамгийн том 40 зээлдэгчийн мэдээллийг шивэх ёстойг анхаарна уу!</t>
    </r>
  </si>
  <si>
    <t>Хөдөө аж ахуй, ойн аж ахуй, загас барилт, ан агнуур</t>
  </si>
  <si>
    <t>Уул уурхай, олборлолт</t>
  </si>
  <si>
    <t>Боловсруулах үйлдвэрлэл</t>
  </si>
  <si>
    <t>Цахилгаан, хий, уур, агааржуулалт</t>
  </si>
  <si>
    <t>Ус хангамж; сувагжилтын систем, хог хаягдал зайлуулах болон хүрээлэн буй орчныг дахин сэргээх үйл ажиллагаа</t>
  </si>
  <si>
    <t>Бөөний болон жижиглэн худалдаа, машин, мотоциклийн засвар, үйлчилгээ</t>
  </si>
  <si>
    <t>Тээвэр, агуулахын үйл ажиллагаа</t>
  </si>
  <si>
    <t>Зочид буудал, байр, сууц болон нийтийн хоолны үйлчилгээ</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</si>
  <si>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</si>
  <si>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</si>
  <si>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</si>
  <si>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</si>
  <si>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Удирдлагын болон дэмжлэг үзүүлэх үйл ажиллагаа</t>
  </si>
  <si>
    <t>Төрийн удирдлага, батлан хамгаалах үйл ажиллагаа, албан журмын нийгмийн хамгаалал</t>
  </si>
  <si>
    <t>Боловсрол</t>
  </si>
  <si>
    <t>Хүний эрүүл мэнд, нийгмийн халамжийн үйл ажиллагаа</t>
  </si>
  <si>
    <t>Урлаг, үзвэр, тоглоом наадам</t>
  </si>
  <si>
    <t>Үйлчилгээний бусад үйл ажиллагаа</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</si>
  <si>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</si>
  <si>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Олон улсын байгууллага, суурин төлөөлөгчийн үйл ажиллагаа</t>
  </si>
  <si>
    <t>шалгуур үзүүлэлт"-ийн  хавсралт 4</t>
  </si>
  <si>
    <t>НЭГДМЭЛ СОНИРХОЛТОЙ ЭТГЭЭДЭД ОЛГОСОН ЗЭЭЛ, ЗЭЭЛТЭЙ АДИЛТГАН ТООЦОХ БУСАД ХӨРӨНГИЙН ТАЙЛАН</t>
  </si>
  <si>
    <t>Зээлдэгчийн нэр</t>
  </si>
  <si>
    <t>Нэгдмэл сонирхолтой этгээдүүдийн код</t>
  </si>
  <si>
    <t>Нэгдмэл сонирхолтой этгээдэд олгосон нийт зээлийн дүн</t>
  </si>
  <si>
    <t>Нэгдмэл сонирхолтой этгээдэд олгосон нийт зээлийн өөрийн хөрөнгөд эзлэх хувь</t>
  </si>
  <si>
    <t>Нэгдмэл сонирхолтой зээлдэгчийн зээлийн дүн:</t>
  </si>
  <si>
    <t>Хамгийн өндөр нэгдмэл сонирхолтой этгээд:</t>
  </si>
  <si>
    <t>1/ Нэгдмэл сонирхолтой этгээдүүдийг 2 оронтой тоо бүхий ижил кодоор бүртгэн тайлагнана.</t>
  </si>
  <si>
    <t>3/ Нэгдмэл сонирхолтой этгээд тус бүрийн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</si>
  <si>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Хадгаламж, зээлийн хоршооны тухай хуулийн 3.1.4 "нэгдмэл сонирхолтой этгээд" гэж хадгаламж, зээлийн хоршооны гишүүн, тэргүүлэгчдийн зөвлөл, хяналтын зөвлөл болон зээлийн хорооны гишүүн, гүйцэтгэх захирал, ажилтантай эд хөрөнгө, садан төрлийн зэрэг хувийн ашиг сонирхлын холбоо бүхий этгээдийг хэлнэ.</t>
    </r>
  </si>
  <si>
    <t>шалгуур үзүүлэлт"-ийн  хавсралт 5</t>
  </si>
  <si>
    <t xml:space="preserve"> 40 ТОМ ХАДГАЛАМЖ ЭЗЭМШИГЧИЙН ТАЙЛАН</t>
  </si>
  <si>
    <t>Хадгаламж эзэмшигчийн мэдээлэл</t>
  </si>
  <si>
    <t>Хадгаламжийн үлдэгдэл</t>
  </si>
  <si>
    <t>Хадгаламжийн төрөл</t>
  </si>
  <si>
    <t xml:space="preserve">Хадгаламжийн хугацаа /сараар/ </t>
  </si>
  <si>
    <t xml:space="preserve">Хадгаламжийн сарын хүү </t>
  </si>
  <si>
    <t>Хадгаламж байршуулж эхэлсэн огноо [СС/ӨӨ/ОООО]</t>
  </si>
  <si>
    <t>Нийт хадгаламжийн дүнд эзлэх хувь</t>
  </si>
  <si>
    <t>1 хадгаламж эзэмшигчийн нийт хадгаламжийн дүн</t>
  </si>
  <si>
    <t xml:space="preserve">    БҮГД</t>
  </si>
  <si>
    <t>Хамгийн өндөр хадгаламж, бүтээгдэхүүнээр:</t>
  </si>
  <si>
    <t>Хамгийн өндөр хадгаламж эзэмшигч:</t>
  </si>
  <si>
    <t>1/ Хадгаламж эзэмшигчийн мэдээллийг бүрэн бөглөнө үү! Хадгаламж эзэмшигчийн мэдээллийг хүйсээр ангилан тайлагнах тул хуулийн этгээдийн мэдээллийг гүйцэтгэх захирлын хүйсээр ангилан нөхнө үү!</t>
  </si>
  <si>
    <t>2/ Хадгаламж эзэмшигчийн хүйс, хадгаламжийн төрөл нь сонгох утга тул аль тохирохыг сонгож тайлагнана.</t>
  </si>
  <si>
    <t xml:space="preserve">3/ Хадгаламжийн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</si>
  <si>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Хадгаламж эзэмшигчдийн тоо 40 болон түүнээс цөөн тохиолдолд бүх хадгаламж эзэмшигчийн мэдээллийг тайлагнах бөгөөд 40-өөс дээш бол хамгийн том 40 хадгаламж эзэмшигчийн мэдээллийг шивэх ёстойг анхаарна уу!</t>
    </r>
  </si>
  <si>
    <t>шалгуур үзүүлэлт"-ийн  хавсралт 6</t>
  </si>
  <si>
    <t>ИХ ХЭМЖЭЭНИЙ ХУВЬ ХӨРӨНГӨ НИЙЛҮҮЛСЭН ГИШҮҮДИЙН ТАЙЛАН</t>
  </si>
  <si>
    <t>Хувь хөрөнгө нийлүүлсэн гишүүний нэр</t>
  </si>
  <si>
    <t>Оруулсан хувь хөрөнгийн тайлант үеийн үлдэгдэл</t>
  </si>
  <si>
    <t>ХЗХ-ны нийт хувь нийлүүлсэн хөрөнгөд эзлэх хувь</t>
  </si>
  <si>
    <t>Хамгийн том хувь нийлүүлэгч</t>
  </si>
  <si>
    <t>1/ ХЗХ-ны хамгийн том хувь хөрөнгө нийлүүлэгчдийн мэдээллийг бүрэн бөглөнө үү!</t>
  </si>
  <si>
    <t>2/ Хувь хувь нийлүүлэгчийн хүйсийн мэдээлэл нь сонгох утга тул аль тохирохыг сонгож тайлагнана.</t>
  </si>
  <si>
    <t>3/ Хувь хөрөнгө нийлүүлэгчийн мэдээллийг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</si>
  <si>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Хувь нийлүүлэгчдийн тоо 40 болон түүнээс цөөн тохиолдолд бүх хувь нийлүүлэгчийн мэдээллийг тайлагнах бөгөөд 40-өөс дээш бол хамгийн том 40 хувь нийлүүлэгчийн мэдээллийг шивэх ёстойг анхаарна уу!</t>
    </r>
  </si>
  <si>
    <t>шалгуур үзүүлэлт"-ийн  хавсралт 7</t>
  </si>
  <si>
    <t xml:space="preserve"> ХӨРӨНГӨ, ЭХ ҮҮСВЭРИЙН ЭРГЭН ТӨЛӨГДӨХ ХУГАЦААНЫ ТАЙЛАН</t>
  </si>
  <si>
    <t>ХӨРӨНГӨ, ЭХ ҮҮСВЭР</t>
  </si>
  <si>
    <t>Хугацаагүй</t>
  </si>
  <si>
    <t>1-3 сар</t>
  </si>
  <si>
    <t>3-6 сар</t>
  </si>
  <si>
    <t>6-12 сар</t>
  </si>
  <si>
    <t>1-2 жил</t>
  </si>
  <si>
    <t>2-5 жил</t>
  </si>
  <si>
    <t>5 жилээс дээш</t>
  </si>
  <si>
    <t>Нийт</t>
  </si>
  <si>
    <t>Хөрөнгө</t>
  </si>
  <si>
    <t>Банк, санхүүгийн байгууллагад байршуулсан харилцах</t>
  </si>
  <si>
    <t>Банк, санхүүгийн байгууллагад байршуулсан хадгаламж</t>
  </si>
  <si>
    <t>Авлага</t>
  </si>
  <si>
    <t>Бусад*</t>
  </si>
  <si>
    <t>НИЙТ САНХҮҮГИЙН ХӨРӨНГӨ</t>
  </si>
  <si>
    <t>Өр төлбөр</t>
  </si>
  <si>
    <t>Гишүүдийн нийт хадгаламж</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</si>
  <si>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</si>
  <si>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</si>
  <si>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</si>
  <si>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</si>
  <si>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</si>
  <si>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1/ ХХХХ нүдийг бөглөхгүй</t>
  </si>
  <si>
    <t>2/ Нийт зээлийн хугацааны ангиллын мэдээлэл LOAN-PD тайлангаас татагдах тул PD тайланг бөглөнө үү!</t>
  </si>
  <si>
    <t>шалгуур үзүүлэлт"-ийн  хавсралт 8</t>
  </si>
  <si>
    <t>ХӨРӨНГИЙН ЧАНАРЫН БОЛОН ХАМГААЛАЛТЫН ҮЗҮҮЛЭЛТИЙН ТАЙЛАН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</si>
  <si>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</si>
  <si>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</si>
  <si>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</si>
  <si>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</si>
  <si>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</si>
  <si>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</si>
  <si>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</si>
  <si>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 xml:space="preserve"> Хэвийн зээл</t>
  </si>
  <si>
    <t xml:space="preserve">Чанаргүй зээл </t>
  </si>
  <si>
    <t xml:space="preserve">    а/Хэвийн бус </t>
  </si>
  <si>
    <t xml:space="preserve">    б/Эргэлзээтэй</t>
  </si>
  <si>
    <t xml:space="preserve">    в/ Муу</t>
  </si>
  <si>
    <t xml:space="preserve">Нийт ӨБХ </t>
  </si>
  <si>
    <t xml:space="preserve">Хэвийн ӨБХ </t>
  </si>
  <si>
    <t>Хугацаа хэтэрсэн ӨБХ</t>
  </si>
  <si>
    <t>Чанаргүй ӨБХ</t>
  </si>
  <si>
    <t>Нийт авлага</t>
  </si>
  <si>
    <t xml:space="preserve">Хэвийн авлага </t>
  </si>
  <si>
    <t>Хугацаа хэтэрсэн авлага</t>
  </si>
  <si>
    <t>Чанаргүй авлага</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</si>
  <si>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</si>
  <si>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</si>
  <si>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</si>
  <si>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</si>
  <si>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шалгуур үзүүлэлт"-ийн  хавсралт 9</t>
  </si>
  <si>
    <t>ҮР АШИГТАЙ САНХҮҮГИЙН БҮТЦИЙН ҮЗҮҮЛЭЛТИЙН ТАЙЛАН</t>
  </si>
  <si>
    <t>ХӨРӨНГӨ</t>
  </si>
  <si>
    <t>Мөнгө, түүнтэй адилтгах хөрөнгө</t>
  </si>
  <si>
    <t>Зээл (цэврээр)</t>
  </si>
  <si>
    <t>Нийт зээлийн үлдэгдэл - Зээлийн эрсдэлийн сан</t>
  </si>
  <si>
    <t>Дансны авлага (цэврээр)</t>
  </si>
  <si>
    <t>Өмчлөх бусад санхүүгийн хөрөнгө (цэврээр)</t>
  </si>
  <si>
    <t>Бусад санхүүгийн хөрөнгө</t>
  </si>
  <si>
    <t>Өмчлөх бусад хөрөнгө (цэврээр)</t>
  </si>
  <si>
    <t>Үндсэн хөрөнгө (цэврээр)</t>
  </si>
  <si>
    <t>Биет бус хөрөнгө (цэврээр)</t>
  </si>
  <si>
    <t>ӨР ТӨЛБӨР</t>
  </si>
  <si>
    <t>Банк, санхүүгийн байгууллагаас татсан эх үүсвэр</t>
  </si>
  <si>
    <t>Бусад санхүүгийн өр төлбөр</t>
  </si>
  <si>
    <t>Санхүүгийн бус өр төлбөр</t>
  </si>
  <si>
    <t>Гишүүдийн хувь нийлүүлсэн хөрөнгө</t>
  </si>
  <si>
    <t>Өмчийн бусад хэсэг</t>
  </si>
  <si>
    <t xml:space="preserve">Хадгаламж хамгаалалтын сан </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</si>
  <si>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</si>
  <si>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</si>
  <si>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</si>
  <si>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</si>
  <si>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</si>
  <si>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</si>
  <si>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(40-80 хувь)</t>
  </si>
  <si>
    <t>40-80%</t>
  </si>
  <si>
    <t>БУСДААС АВСАН ЗЭЭЛИЙН ЗОХИСТОЙ ХАРЬЦАА (20 хувиас хэтрэхгүй)</t>
  </si>
  <si>
    <t>НЭГ ГИШҮҮНИЙ ОРУУЛЖ БОЛОХ ХУВЬ ХӨРӨНГӨ (10 хувиас хэтрэхгүй)</t>
  </si>
  <si>
    <t>НӨӨЦИЙН САНГИЙН ХЭМЖЭЭ (3.0 хувиас доошгүй)</t>
  </si>
  <si>
    <t>ХОРШООЛОГЧДЫН ӨМЧИЙН ЗОХИСТОЙ ХАРЬЦАА (5 хувиас доошгүй)</t>
  </si>
  <si>
    <t>ХАДГАЛАМЖ ХАМГААЛАЛТЫН САНГИЙН ХЭМЖЭЭ (5 хувиас доошгүй)</t>
  </si>
  <si>
    <t>ТОГТВОРЖИЛТЫН САНГИЙН ХЭМЖЭЭ (5 хувиас доошгүй)</t>
  </si>
  <si>
    <t>шалгуур үзүүлэлт"-ийн  хавсралт 10</t>
  </si>
  <si>
    <t>ӨГӨӨЖ, ЗАРДЛЫН ХУВЬ ХЭМЖЭЭНИЙ ҮЗҮҮЛЭЛТИЙН ТАЙЛАН</t>
  </si>
  <si>
    <t>Хүүгийн цэвэр орлого (А1-А2)</t>
  </si>
  <si>
    <t>Хүүгийн бус зардал</t>
  </si>
  <si>
    <t>Татварын дараах цэвэр орлого</t>
  </si>
  <si>
    <t>Нийт хөрөнгө</t>
  </si>
  <si>
    <t>Ё</t>
  </si>
  <si>
    <t>Ж</t>
  </si>
  <si>
    <t xml:space="preserve">Зээлийн эрсдэлийн сан </t>
  </si>
  <si>
    <t>З</t>
  </si>
  <si>
    <t>Нийт хүүгийн орлого оруулдаг хөрөнгө</t>
  </si>
  <si>
    <t>И</t>
  </si>
  <si>
    <t>Хувь нийлүүлсэн хөрөнгө</t>
  </si>
  <si>
    <t>Й</t>
  </si>
  <si>
    <t>ӨГӨӨЖ, ЗАРДЛЫН ҮЗҮҮЛЭЛТҮҮД</t>
  </si>
  <si>
    <t>ҮЙЛ АЖИЛЛАГААНЫ ЗАРДЛЫН ЗОХИСТОЙ ТҮВШИН (10 хувиас хэтрэхгүй)</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</si>
  <si>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</si>
  <si>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</si>
  <si>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</si>
  <si>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</si>
  <si>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</si>
  <si>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</si>
  <si>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</si>
  <si>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</si>
  <si>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</si>
  <si>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X</t>
  </si>
  <si>
    <t>Зээлийн эрсдэлийн сан / Нийт зээлийн өрийн үлдэгдэл</t>
  </si>
  <si>
    <t>шалгуур үзүүлэлт"-ийн  хавсралт 11</t>
  </si>
  <si>
    <t>ТӨЛБӨР ТҮРГЭН ГҮЙЦЭТГЭХ ЧАДВАРЫН ҮЗҮҮЛЭЛТИЙН ТАЙЛАН</t>
  </si>
  <si>
    <t>ТҮРГЭН БОРЛОГДОХ ХӨРӨНГӨ</t>
  </si>
  <si>
    <t>Мөнгө түүнтэй адилтгах хөрөнгө</t>
  </si>
  <si>
    <t>Зээл (30 хоногт төлөгдөх зээл)</t>
  </si>
  <si>
    <t>ГИШҮҮДИЙН НИЙТ ХАДГАЛАМЖ</t>
  </si>
  <si>
    <t>ТӨЛБӨР ТҮРГЭН ГҮЙЦЭТГЭХ ЧАДВАРЫН ХАРЬЦАА (10 хувиас дээш)</t>
  </si>
  <si>
    <t>Зохистой харьцаа тайлангаар А/Б</t>
  </si>
  <si>
    <t>Харьцааны биелэгдээгүй хувь (B1-В)</t>
  </si>
  <si>
    <t>шалгуур үзүүлэлт"-ийн  хавсралт 12</t>
  </si>
  <si>
    <t>ЗОХИСТОЙ ХАРЬЦААНЫ ШАЛГУУР ҮЗҮҮЛЭЛТ БОЛОН ДАГАЖ МӨРДӨХ ҮЗҮҮЛЭЛТ</t>
  </si>
  <si>
    <t>ЗОХИСТОЙ ҮЗҮҮЛЭЛТ</t>
  </si>
  <si>
    <t>БАЙВАЛ ЗОХИХ</t>
  </si>
  <si>
    <t>ТАЙЛАНГААР</t>
  </si>
  <si>
    <t>ХАНГАСАН ЭСЭХ</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</si>
  <si>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</si>
  <si>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</si>
  <si>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</si>
  <si>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</si>
  <si>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</si>
  <si>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</si>
  <si>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</si>
  <si>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</si>
  <si>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</si>
  <si>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</si>
  <si>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</si>
  <si>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</si>
  <si>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</si>
  <si>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40%-80%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</si>
  <si>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</si>
  <si>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</si>
  <si>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</si>
  <si>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</si>
  <si>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</si>
  <si>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</si>
  <si>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</si>
  <si>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</si>
  <si>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</si>
  <si>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</si>
  <si>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ТӨЛБӨР ТҮРГЭН ГҮЙЦЭТГЭХ ЧАДВАР</t>
  </si>
  <si>
    <t xml:space="preserve">ТӨЛБӨР ТҮРГЭН ГҮЙЦЭТГЭХ ЧАДВАРЫН ЗОХИСТОЙ ХАРЬЦАА </t>
  </si>
  <si>
    <t xml:space="preserve">10%-аас доошгүй </t>
  </si>
  <si>
    <t>ӨГӨӨЖ, ЗАРДЛЫН ХУВЬ ХЭМЖЭЭ (ДОТООД ҮЙЛ АЖИЛЛАГААГ ДҮГНЭХ ҮЗҮҮЛЭЛТ)</t>
  </si>
  <si>
    <t>ХӨРӨНГӨ /АКТИВ/-ИЙН  ӨГӨӨЖ</t>
  </si>
  <si>
    <t>ХЗХ нь Хорооноос тусгай зөвшөөрөл олгосноос хойш 4 улиралд багтаан ЗХШҮ-ийг бүрэн хангаж ажиллах үүргийг хүлээнэ.</t>
  </si>
  <si>
    <t xml:space="preserve">Ниит 14 зохистой харьцааны шалгуур үзүүлэлт(ЗХШҮ)-ээс </t>
  </si>
  <si>
    <t xml:space="preserve">хангаж ажилласан байна.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</si>
</sst>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3" formatCode="_(* #,##0.00_);_(* \(#,##0.00\);_(* &quot;-&quot;??_);_(@_)"/>
    <numFmt numFmtId="164" formatCode="_ * #,##0.00_ ;_ * \-#,##0.00_ ;_ * &quot;-&quot;??_ ;_ @_ "/>
    <numFmt numFmtId="165" formatCode="0.0%"/>
    <numFmt numFmtId="166" formatCode="_-* #,##0_₮_-;\-* #,##0_₮_-;_-* &quot;-&quot;_₮_-;_-@_-"/>
    <numFmt numFmtId="167" formatCode="_-* #,##0.00_₮_-;\-* #,##0.00_₮_-;_-* &quot;-&quot;??_₮_-;_-@_-"/>
    <numFmt numFmtId="168" formatCode="_(* #,##0.0_);_(* \(#,##0.0\);_(* &quot;-&quot;??_);_(@_)"/>
    <numFmt numFmtId="169" formatCode="_(* #,##0_);_(* \(#,##0\);_(* &quot;-&quot;??_);_(@_)"/>
    <numFmt numFmtId="170" formatCode="_-* #,##0.00_-;\-* #,##0.00_-;_-* &quot;-&quot;??_-;_-@"/>
    <numFmt numFmtId="171" formatCode="_-* #,##0_-;\-* #,##0_-;_-* &quot;-&quot;??_-;_-@"/>
    <numFmt numFmtId="172" formatCode="_-* #,##0_₮_-;\-* #,##0_₮_-;_-* &quot;-&quot;??_₮_-;_-@_-"/>
    <numFmt numFmtId="173" formatCode="yyyy\.mm\.dd"/>
    <numFmt numFmtId="174" formatCode="_-* #,##0.00_-;\-* #,##0.00_-;_-* &quot;-&quot;??_-;_-@_-"/>
    <numFmt numFmtId="175" formatCode="_(* #,##0.0_);_(* \(#,##0.0\);_(* &quot;-&quot;_);_(@_)"/>
    <numFmt numFmtId="176" formatCode="0.0"/>
  </numFmts>
  <fonts count="61">
    <font>
      <sz val="11"/>
      <color theme="1"/>
      <name val="Calibri"/>
      <family val="2"/>
      <scheme val="minor"/>
    </font>
    <font>
      <sz val="10"/>
      <color theme="1"/>
      <name val="Times New Roman"/>
      <family val="2"/>
      <charset val="1"/>
    </font>
    <font>
      <i/>
      <sz val="10"/>
      <name val="Times New Roman"/>
      <family val="1"/>
    </font>
    <font>
      <sz val="11"/>
      <color theme="1"/>
      <name val="Times New Roman"/>
      <family val="1"/>
    </font>
    <font>
      <b/>
      <sz val="10"/>
      <color theme="1"/>
      <name val="Times New Roman"/>
      <family val="1"/>
    </font>
    <font>
      <b/>
      <sz val="10"/>
      <color rgb="FF0000FF"/>
      <name val="Times New Roman"/>
      <family val="1"/>
    </font>
    <font>
      <i/>
      <sz val="10"/>
      <color theme="1"/>
      <name val="Times New Roman"/>
      <family val="1"/>
    </font>
    <font>
      <sz val="10"/>
      <color theme="1"/>
      <name val="Calibri"/>
      <family val="2"/>
    </font>
    <font>
      <b/>
      <sz val="10"/>
      <color rgb="FF000000"/>
      <name val="Times New Roman"/>
      <family val="1"/>
    </font>
    <font>
      <sz val="10"/>
      <color rgb="FF000000"/>
      <name val="Times New Roman"/>
      <family val="1"/>
    </font>
    <font>
      <sz val="10"/>
      <color theme="1"/>
      <name val="Times New Roman"/>
      <family val="1"/>
    </font>
    <font>
      <i/>
      <sz val="10"/>
      <color rgb="FF000000"/>
      <name val="Times New Roman"/>
      <family val="1"/>
    </font>
    <font>
      <b/>
      <i/>
      <sz val="10"/>
      <color rgb="FF000000"/>
      <name val="Times New Roman"/>
      <family val="1"/>
    </font>
    <font>
      <b/>
      <sz val="10"/>
      <name val="Times New Roman"/>
      <family val="1"/>
    </font>
    <font>
      <sz val="10"/>
      <name val="Times New Roman"/>
      <family val="1"/>
    </font>
    <font>
      <sz val="10"/>
      <color rgb="FFFF0000"/>
      <name val="Times New Roman"/>
      <family val="1"/>
    </font>
    <font>
      <b/>
      <i/>
      <sz val="10"/>
      <color rgb="FF0070C0"/>
      <name val="Times New Roman"/>
      <family val="1"/>
    </font>
    <font>
      <sz val="10"/>
      <color rgb="FF0070C0"/>
      <name val="Times New Roman"/>
      <family val="1"/>
    </font>
    <font>
      <b/>
      <i/>
      <u/>
      <sz val="10"/>
      <color theme="1"/>
      <name val="Times New Roman"/>
      <family val="1"/>
    </font>
    <font>
      <b/>
      <sz val="10"/>
      <color rgb="FFFF0000"/>
      <name val="Times New Roman"/>
      <family val="1"/>
    </font>
    <font>
      <sz val="11"/>
      <color theme="1"/>
      <name val="Calibri"/>
      <family val="2"/>
      <scheme val="minor"/>
    </font>
    <font>
      <sz val="11"/>
      <name val="Times New Roman"/>
      <family val="1"/>
    </font>
    <font>
      <b/>
      <u/>
      <sz val="10"/>
      <color theme="1"/>
      <name val="Times New Roman"/>
      <family val="1"/>
    </font>
    <font>
      <b/>
      <u/>
      <sz val="10"/>
      <color theme="4"/>
      <name val="Times New Roman"/>
      <family val="1"/>
    </font>
    <font>
      <b/>
      <sz val="11"/>
      <color theme="1"/>
      <name val="Times New Roman"/>
      <family val="1"/>
    </font>
    <font>
      <i/>
      <sz val="10"/>
      <color rgb="FFFF0000"/>
      <name val="Times New Roman"/>
      <family val="1"/>
    </font>
    <font>
      <sz val="11"/>
      <color theme="1"/>
      <name val="Times New Roman"/>
      <family val="2"/>
      <charset val="1"/>
    </font>
    <font>
      <u/>
      <sz val="10"/>
      <color theme="10"/>
      <name val="Times New Roman"/>
      <family val="1"/>
    </font>
    <font>
      <sz val="10"/>
      <name val="Times New Roman"/>
      <family val="2"/>
      <charset val="1"/>
    </font>
    <font>
      <sz val="10"/>
      <color rgb="FF0070C0"/>
      <name val="Times New Roman"/>
      <family val="2"/>
      <charset val="1"/>
    </font>
    <font>
      <sz val="10"/>
      <name val="Arial"/>
      <family val="2"/>
    </font>
    <font>
      <b/>
      <sz val="10"/>
      <color rgb="FF050FD9"/>
      <name val="Times New Roman"/>
      <family val="1"/>
    </font>
    <font>
      <i/>
      <sz val="10"/>
      <color theme="1"/>
      <name val="Times New Roman"/>
      <family val="2"/>
      <charset val="1"/>
    </font>
    <font>
      <b/>
      <sz val="10"/>
      <color theme="1"/>
      <name val="Times New Roman"/>
      <family val="2"/>
      <charset val="1"/>
    </font>
    <font>
      <sz val="10"/>
      <color rgb="FFFF0000"/>
      <name val="Times New Roman"/>
      <family val="2"/>
      <charset val="1"/>
    </font>
    <font>
      <sz val="9"/>
      <color rgb="FFFF0000"/>
      <name val="Times New Roman"/>
      <family val="1"/>
    </font>
    <font>
      <sz val="10"/>
      <color rgb="FF969696"/>
      <name val="Times New Roman"/>
      <family val="1"/>
    </font>
    <font>
      <sz val="10"/>
      <name val="Times New Roman Mon"/>
      <family val="1"/>
    </font>
    <font>
      <sz val="10"/>
      <color theme="0"/>
      <name val="Times New Roman"/>
      <family val="1"/>
    </font>
    <font>
      <sz val="9.5"/>
      <color theme="1"/>
      <name val="Times New Roman"/>
      <family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u/>
      <sz val="11"/>
      <color theme="10"/>
      <name val="Calibri"/>
      <family val="2"/>
      <scheme val="minor"/>
    </font>
    <font>
      <b/>
      <sz val="18"/>
      <color theme="8" tint="-0.249977111117893"/>
      <name val="Times New Roman"/>
      <family val="1"/>
    </font>
    <font>
      <sz val="10"/>
      <color theme="4" tint="-0.249977111117893"/>
      <name val="Times New Roman"/>
      <family val="1"/>
    </font>
    <font>
      <b/>
      <sz val="14"/>
      <color theme="8" tint="-0.249977111117893"/>
      <name val="Times New Roman"/>
      <family val="1"/>
    </font>
    <font>
      <sz val="10"/>
      <color rgb="FF0000FF"/>
      <name val="Times New Roman"/>
      <family val="1"/>
    </font>
    <font>
      <sz val="10"/>
      <color theme="8" tint="-0.249977111117893"/>
      <name val="Times New Roman"/>
      <family val="1"/>
    </font>
    <font>
      <sz val="10"/>
      <color rgb="FF2957A4"/>
      <name val="Times New Roman"/>
      <family val="1"/>
    </font>
    <font>
      <u/>
      <sz val="11"/>
      <color theme="10"/>
      <name val="Times New Roman"/>
      <family val="1"/>
    </font>
    <font>
      <sz val="10"/>
      <color rgb="FF000099"/>
      <name val="Times New Roman"/>
      <family val="1"/>
    </font>
    <font>
      <sz val="11"/>
      <name val="Calibri"/>
      <family val="2"/>
      <scheme val="minor"/>
    </font>
    <font>
      <sz val="10"/>
      <color indexed="8"/>
      <name val="Times New Roman"/>
      <family val="1"/>
    </font>
    <font>
      <sz val="11"/>
      <color rgb="FFFF0000"/>
      <name val="Calibri"/>
      <family val="2"/>
      <scheme val="minor"/>
    </font>
    <font>
      <sz val="10"/>
      <color rgb="FFFF0000"/>
      <name val="Calibri"/>
      <family val="2"/>
      <scheme val="minor"/>
    </font>
    <font>
      <sz val="9"/>
      <color rgb="FFFF0000"/>
      <name val="Times New Roman"/>
      <family val="2"/>
    </font>
    <font>
      <i/>
      <sz val="9"/>
      <name val="Times New Roman"/>
      <family val="1"/>
    </font>
  </fonts>
  <fills count="27">
    <fill>
      <patternFill patternType="none"/>
    </fill>
    <fill>
      <patternFill patternType="gray125"/>
    </fill>
    <fill>
      <patternFill patternType="solid">
        <fgColor theme="9" tint="0.39997558519241921"/>
        <bgColor indexed="64"/>
      </patternFill>
    </fill>
    <fill>
      <patternFill patternType="solid">
        <fgColor rgb="FFFFFFFF"/>
        <bgColor indexed="64"/>
      </patternFill>
    </fill>
    <fill>
      <patternFill patternType="solid">
        <fgColor rgb="FFF2F2F2"/>
        <bgColor indexed="64"/>
      </patternFill>
    </fill>
    <fill>
      <patternFill patternType="solid">
        <fgColor theme="9" tint="0.59999389629810485"/>
        <bgColor rgb="FFC5E0B3"/>
      </patternFill>
    </fill>
    <fill>
      <patternFill patternType="solid">
        <fgColor theme="9" tint="0.59999389629810485"/>
        <bgColor indexed="64"/>
      </patternFill>
    </fill>
    <fill>
      <patternFill patternType="solid">
        <fgColor theme="0"/>
        <bgColor theme="0"/>
      </patternFill>
    </fill>
    <fill>
      <patternFill patternType="solid">
        <fgColor rgb="FFC5E0B3"/>
        <bgColor rgb="FFC5E0B3"/>
      </patternFill>
    </fill>
    <fill>
      <patternFill patternType="solid">
        <fgColor theme="9"/>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9" tint="0.59999389629810485"/>
        <bgColor theme="0"/>
      </patternFill>
    </fill>
    <fill>
      <patternFill patternType="solid">
        <fgColor theme="9" tint="0.79998168889431442"/>
        <bgColor theme="0"/>
      </patternFill>
    </fill>
    <fill>
      <patternFill patternType="solid">
        <fgColor theme="0"/>
        <bgColor indexed="64"/>
      </patternFill>
    </fill>
    <fill>
      <patternFill patternType="solid">
        <fgColor theme="9" tint="-0.249977111117893"/>
        <bgColor theme="0"/>
      </patternFill>
    </fill>
    <fill>
      <patternFill patternType="solid">
        <fgColor theme="9" tint="0.39997558519241921"/>
        <bgColor theme="0"/>
      </patternFill>
    </fill>
    <fill>
      <patternFill patternType="solid">
        <fgColor rgb="FF93CA8C"/>
        <bgColor indexed="64"/>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39997558519241921"/>
        <bgColor rgb="FFC5E0B3"/>
      </patternFill>
    </fill>
    <fill>
      <patternFill patternType="solid">
        <fgColor theme="0"/>
        <bgColor rgb="FFC5E0B3"/>
      </patternFill>
    </fill>
    <fill>
      <patternFill patternType="solid">
        <fgColor theme="9" tint="0.39997558519241921"/>
        <bgColor rgb="FFFCD5B4"/>
      </patternFill>
    </fill>
    <fill>
      <patternFill patternType="solid">
        <fgColor theme="9" tint="0.39997558519241921"/>
        <bgColor rgb="FFB4C6E7"/>
      </patternFill>
    </fill>
    <fill>
      <patternFill patternType="solid">
        <fgColor theme="9" tint="0.39997558519241921"/>
        <bgColor rgb="FFDEEAF6"/>
      </patternFill>
    </fill>
    <fill>
      <patternFill patternType="solid">
        <fgColor theme="9" tint="0.79998168889431442"/>
        <bgColor rgb="FFC5E0B3"/>
      </patternFill>
    </fill>
  </fills>
  <borders count="283">
    <border>
      <left/>
      <right/>
      <top/>
      <bottom/>
      <diagonal/>
    </border>
    <border>
      <left style="medium">
        <color indexed="64"/>
      </left>
      <right style="thin">
        <color theme="2" tint="-9.9978637043366805E-2"/>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theme="2" tint="-9.9978637043366805E-2"/>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theme="2" tint="-9.9978637043366805E-2"/>
      </bottom>
      <diagonal/>
    </border>
    <border>
      <left/>
      <right/>
      <top/>
      <bottom style="thin">
        <color theme="2" tint="-9.9978637043366805E-2"/>
      </bottom>
      <diagonal/>
    </border>
    <border>
      <left style="medium">
        <color indexed="64"/>
      </left>
      <right/>
      <top style="medium">
        <color indexed="64"/>
      </top>
      <bottom style="medium">
        <color indexed="64"/>
      </bottom>
      <diagonal/>
    </border>
    <border>
      <left style="medium">
        <color indexed="64"/>
      </left>
      <right/>
      <top style="thin">
        <color theme="2" tint="-9.9978637043366805E-2"/>
      </top>
      <bottom style="thin">
        <color theme="2" tint="-9.9978637043366805E-2"/>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medium">
        <color indexed="64"/>
      </bottom>
      <diagonal/>
    </border>
    <border>
      <left/>
      <right/>
      <top style="thin">
        <color theme="2" tint="-9.9978637043366805E-2"/>
      </top>
      <bottom style="thin">
        <color theme="2" tint="-9.9978637043366805E-2"/>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theme="2" tint="-9.9978637043366805E-2"/>
      </bottom>
      <diagonal/>
    </border>
    <border>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thin">
        <color theme="2" tint="-9.9978637043366805E-2"/>
      </bottom>
      <diagonal/>
    </border>
    <border>
      <left/>
      <right style="medium">
        <color indexed="64"/>
      </right>
      <top style="thin">
        <color theme="2" tint="-9.9978637043366805E-2"/>
      </top>
      <bottom style="thin">
        <color theme="2" tint="-9.9978637043366805E-2"/>
      </bottom>
      <diagonal/>
    </border>
    <border>
      <left style="medium">
        <color indexed="64"/>
      </left>
      <right/>
      <top style="thin">
        <color theme="2" tint="-9.9978637043366805E-2"/>
      </top>
      <bottom style="medium">
        <color indexed="64"/>
      </bottom>
      <diagonal/>
    </border>
    <border>
      <left/>
      <right style="medium">
        <color indexed="64"/>
      </right>
      <top style="thin">
        <color theme="2" tint="-9.9978637043366805E-2"/>
      </top>
      <bottom style="medium">
        <color indexed="64"/>
      </bottom>
      <diagonal/>
    </border>
    <border>
      <left style="medium">
        <color indexed="64"/>
      </left>
      <right/>
      <top style="medium">
        <color indexed="64"/>
      </top>
      <bottom/>
      <diagonal/>
    </border>
    <border>
      <left style="medium">
        <color indexed="64"/>
      </left>
      <right/>
      <top style="thin">
        <color theme="2" tint="-9.9978637043366805E-2"/>
      </top>
      <bottom/>
      <diagonal/>
    </border>
    <border>
      <left style="medium">
        <color indexed="64"/>
      </left>
      <right style="medium">
        <color indexed="64"/>
      </right>
      <top/>
      <bottom/>
      <diagonal/>
    </border>
    <border>
      <left/>
      <right/>
      <top style="thin">
        <color theme="2" tint="-9.9978637043366805E-2"/>
      </top>
      <bottom/>
      <diagonal/>
    </border>
    <border>
      <left/>
      <right/>
      <top style="medium">
        <color indexed="64"/>
      </top>
      <bottom style="medium">
        <color indexed="64"/>
      </bottom>
      <diagonal/>
    </border>
    <border>
      <left style="medium">
        <color indexed="64"/>
      </left>
      <right/>
      <top/>
      <bottom/>
      <diagonal/>
    </border>
    <border>
      <left/>
      <right style="medium">
        <color indexed="64"/>
      </right>
      <top style="thin">
        <color theme="2" tint="-9.9978637043366805E-2"/>
      </top>
      <bottom/>
      <diagonal/>
    </border>
    <border>
      <left style="medium">
        <color indexed="64"/>
      </left>
      <right style="medium">
        <color indexed="64"/>
      </right>
      <top style="thin">
        <color theme="2" tint="-9.9978637043366805E-2"/>
      </top>
      <bottom/>
      <diagonal/>
    </border>
    <border>
      <left style="medium">
        <color indexed="64"/>
      </left>
      <right style="medium">
        <color indexed="64"/>
      </right>
      <top/>
      <bottom style="thin">
        <color theme="2" tint="-9.9978637043366805E-2"/>
      </bottom>
      <diagonal/>
    </border>
    <border>
      <left/>
      <right style="medium">
        <color indexed="64"/>
      </right>
      <top/>
      <bottom style="thin">
        <color theme="2" tint="-9.9978637043366805E-2"/>
      </bottom>
      <diagonal/>
    </border>
    <border>
      <left/>
      <right style="medium">
        <color indexed="64"/>
      </right>
      <top/>
      <bottom/>
      <diagonal/>
    </border>
    <border>
      <left style="medium">
        <color indexed="64"/>
      </left>
      <right/>
      <top style="thin">
        <color theme="2" tint="-9.9978637043366805E-2"/>
      </top>
      <bottom style="medium">
        <color theme="2" tint="-9.9978637043366805E-2"/>
      </bottom>
      <diagonal/>
    </border>
    <border>
      <left/>
      <right/>
      <top style="thin">
        <color theme="0" tint="-0.249977111117893"/>
      </top>
      <bottom/>
      <diagonal/>
    </border>
    <border>
      <left/>
      <right/>
      <top/>
      <bottom style="medium">
        <color theme="2" tint="-9.9978637043366805E-2"/>
      </bottom>
      <diagonal/>
    </border>
    <border>
      <left style="medium">
        <color indexed="64"/>
      </left>
      <right/>
      <top/>
      <bottom style="medium">
        <color indexed="64"/>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medium">
        <color indexed="64"/>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medium">
        <color indexed="64"/>
      </right>
      <top style="thin">
        <color theme="2" tint="-9.9978637043366805E-2"/>
      </top>
      <bottom style="thin">
        <color theme="2" tint="-9.9978637043366805E-2"/>
      </bottom>
      <diagonal/>
    </border>
    <border>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indexed="64"/>
      </left>
      <right style="medium">
        <color indexed="64"/>
      </right>
      <top/>
      <bottom style="medium">
        <color rgb="FF000000"/>
      </bottom>
      <diagonal/>
    </border>
    <border>
      <left/>
      <right style="medium">
        <color rgb="FF000000"/>
      </right>
      <top/>
      <bottom/>
      <diagonal/>
    </border>
    <border>
      <left style="medium">
        <color rgb="FF000000"/>
      </left>
      <right/>
      <top/>
      <bottom style="medium">
        <color rgb="FF000000"/>
      </bottom>
      <diagonal/>
    </border>
    <border>
      <left/>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rgb="FF000000"/>
      </left>
      <right/>
      <top/>
      <bottom/>
      <diagonal/>
    </border>
    <border>
      <left style="medium">
        <color indexed="64"/>
      </left>
      <right style="medium">
        <color indexed="64"/>
      </right>
      <top style="medium">
        <color rgb="FF000000"/>
      </top>
      <bottom/>
      <diagonal/>
    </border>
    <border>
      <left style="medium">
        <color rgb="FF000000"/>
      </left>
      <right/>
      <top style="medium">
        <color rgb="FF000000"/>
      </top>
      <bottom style="medium">
        <color rgb="FF000000"/>
      </bottom>
      <diagonal/>
    </border>
    <border>
      <left style="medium">
        <color indexed="64"/>
      </left>
      <right style="medium">
        <color indexed="64"/>
      </right>
      <top style="medium">
        <color indexed="64"/>
      </top>
      <bottom style="medium">
        <color rgb="FF000000"/>
      </bottom>
      <diagonal/>
    </border>
    <border>
      <left/>
      <right style="thin">
        <color theme="2" tint="-9.9978637043366805E-2"/>
      </right>
      <top/>
      <bottom/>
      <diagonal/>
    </border>
    <border>
      <left style="medium">
        <color indexed="64"/>
      </left>
      <right style="medium">
        <color rgb="FF000000"/>
      </right>
      <top/>
      <bottom/>
      <diagonal/>
    </border>
    <border>
      <left style="medium">
        <color indexed="64"/>
      </left>
      <right style="medium">
        <color rgb="FF000000"/>
      </right>
      <top/>
      <bottom style="thin">
        <color theme="2" tint="-9.9978637043366805E-2"/>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medium">
        <color rgb="FF000000"/>
      </right>
      <top style="medium">
        <color rgb="FF000000"/>
      </top>
      <bottom/>
      <diagonal/>
    </border>
    <border>
      <left style="medium">
        <color indexed="64"/>
      </left>
      <right style="medium">
        <color indexed="64"/>
      </right>
      <top style="thin">
        <color theme="0" tint="-0.249977111117893"/>
      </top>
      <bottom/>
      <diagonal/>
    </border>
    <border>
      <left style="medium">
        <color indexed="64"/>
      </left>
      <right style="medium">
        <color indexed="64"/>
      </right>
      <top style="thin">
        <color theme="0" tint="-0.249977111117893"/>
      </top>
      <bottom style="medium">
        <color indexed="64"/>
      </bottom>
      <diagonal/>
    </border>
    <border>
      <left/>
      <right/>
      <top/>
      <bottom style="thin">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top style="medium">
        <color rgb="FF000000"/>
      </top>
      <bottom/>
      <diagonal/>
    </border>
    <border>
      <left style="medium">
        <color rgb="FF000000"/>
      </left>
      <right/>
      <top style="medium">
        <color rgb="FF000000"/>
      </top>
      <bottom/>
      <diagonal/>
    </border>
    <border>
      <left/>
      <right style="medium">
        <color indexed="64"/>
      </right>
      <top style="medium">
        <color rgb="FF000000"/>
      </top>
      <bottom/>
      <diagonal/>
    </border>
    <border>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indexed="64"/>
      </right>
      <top/>
      <bottom/>
      <diagonal/>
    </border>
    <border>
      <left/>
      <right style="medium">
        <color indexed="64"/>
      </right>
      <top/>
      <bottom style="medium">
        <color rgb="FF000000"/>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medium">
        <color indexed="64"/>
      </left>
      <right/>
      <top style="medium">
        <color rgb="FF000000"/>
      </top>
      <bottom style="medium">
        <color rgb="FF000000"/>
      </bottom>
      <diagonal/>
    </border>
    <border>
      <left style="medium">
        <color rgb="FF000000"/>
      </left>
      <right style="medium">
        <color rgb="FF000000"/>
      </right>
      <top style="thin">
        <color theme="2" tint="-9.9978637043366805E-2"/>
      </top>
      <bottom style="medium">
        <color rgb="FF000000"/>
      </bottom>
      <diagonal/>
    </border>
    <border>
      <left style="medium">
        <color indexed="64"/>
      </left>
      <right/>
      <top/>
      <bottom style="medium">
        <color rgb="FF000000"/>
      </bottom>
      <diagonal/>
    </border>
    <border>
      <left style="medium">
        <color indexed="64"/>
      </left>
      <right/>
      <top style="thin">
        <color rgb="FF000000"/>
      </top>
      <bottom/>
      <diagonal/>
    </border>
    <border>
      <left/>
      <right/>
      <top style="thin">
        <color theme="2" tint="-9.9978637043366805E-2"/>
      </top>
      <bottom style="medium">
        <color indexed="64"/>
      </bottom>
      <diagonal/>
    </border>
    <border>
      <left style="medium">
        <color rgb="FF000000"/>
      </left>
      <right style="medium">
        <color rgb="FF000000"/>
      </right>
      <top/>
      <bottom/>
      <diagonal/>
    </border>
    <border>
      <left style="medium">
        <color indexed="64"/>
      </left>
      <right style="medium">
        <color indexed="64"/>
      </right>
      <top style="thin">
        <color theme="0" tint="-0.249977111117893"/>
      </top>
      <bottom style="thin">
        <color indexed="64"/>
      </bottom>
      <diagonal/>
    </border>
    <border>
      <left/>
      <right style="thin">
        <color theme="0" tint="-0.249977111117893"/>
      </right>
      <top/>
      <bottom/>
      <diagonal/>
    </border>
    <border>
      <left style="medium">
        <color rgb="FF000000"/>
      </left>
      <right style="medium">
        <color indexed="64"/>
      </right>
      <top style="thin">
        <color theme="2" tint="-9.9978637043366805E-2"/>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top style="medium">
        <color indexed="64"/>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style="medium">
        <color indexed="64"/>
      </top>
      <bottom style="medium">
        <color indexed="64"/>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style="medium">
        <color indexed="64"/>
      </bottom>
      <diagonal/>
    </border>
    <border>
      <left/>
      <right/>
      <top style="medium">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medium">
        <color indexed="64"/>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style="medium">
        <color indexed="64"/>
      </top>
      <bottom style="medium">
        <color indexed="64"/>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diagonal/>
    </border>
    <border>
      <left style="medium">
        <color indexed="64"/>
      </left>
      <right style="medium">
        <color indexed="64"/>
      </right>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thin">
        <color theme="0" tint="-0.499984740745262"/>
      </left>
      <right style="medium">
        <color indexed="64"/>
      </right>
      <top/>
      <bottom style="medium">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style="medium">
        <color indexed="64"/>
      </top>
      <bottom style="medium">
        <color indexed="64"/>
      </bottom>
      <diagonal/>
    </border>
    <border>
      <left style="thin">
        <color theme="0" tint="-0.499984740745262"/>
      </left>
      <right style="thin">
        <color indexed="64"/>
      </right>
      <top style="medium">
        <color indexed="64"/>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medium">
        <color indexed="64"/>
      </bottom>
      <diagonal/>
    </border>
    <border>
      <left style="thin">
        <color indexed="64"/>
      </left>
      <right style="thin">
        <color indexed="64"/>
      </right>
      <top style="medium">
        <color indexed="64"/>
      </top>
      <bottom style="thin">
        <color theme="0" tint="-0.499984740745262"/>
      </bottom>
      <diagonal/>
    </border>
    <border>
      <left style="thin">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theme="0" tint="-0.499984740745262"/>
      </left>
      <right style="thin">
        <color indexed="64"/>
      </right>
      <top style="thin">
        <color indexed="64"/>
      </top>
      <bottom style="medium">
        <color indexed="64"/>
      </bottom>
      <diagonal/>
    </border>
    <border>
      <left/>
      <right/>
      <top style="thin">
        <color theme="0" tint="-0.499984740745262"/>
      </top>
      <bottom style="medium">
        <color indexed="64"/>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diagonal/>
    </border>
    <border>
      <left style="medium">
        <color indexed="64"/>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style="thin">
        <color theme="0" tint="-0.499984740745262"/>
      </right>
      <top style="thin">
        <color indexed="64"/>
      </top>
      <bottom style="medium">
        <color indexed="64"/>
      </bottom>
      <diagonal/>
    </border>
    <border>
      <left style="thin">
        <color theme="0" tint="-0.499984740745262"/>
      </left>
      <right style="medium">
        <color indexed="64"/>
      </right>
      <top style="thin">
        <color theme="0" tint="-0.499984740745262"/>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style="medium">
        <color indexed="64"/>
      </right>
      <top style="medium">
        <color indexed="64"/>
      </top>
      <bottom style="thin">
        <color indexed="64"/>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medium">
        <color indexed="64"/>
      </right>
      <top style="thin">
        <color indexed="64"/>
      </top>
      <bottom style="thin">
        <color indexed="64"/>
      </bottom>
      <diagonal/>
    </border>
    <border>
      <left style="medium">
        <color indexed="64"/>
      </left>
      <right style="medium">
        <color indexed="64"/>
      </right>
      <top style="thin">
        <color theme="0" tint="-0.499984740745262"/>
      </top>
      <bottom style="thin">
        <color indexed="64"/>
      </bottom>
      <diagonal/>
    </border>
    <border>
      <left style="medium">
        <color indexed="64"/>
      </left>
      <right style="thin">
        <color theme="0" tint="-0.499984740745262"/>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medium">
        <color indexed="64"/>
      </left>
      <right/>
      <top style="thin">
        <color theme="0" tint="-0.499984740745262"/>
      </top>
      <bottom style="thin">
        <color theme="0" tint="-0.499984740745262"/>
      </bottom>
      <diagonal/>
    </border>
    <border>
      <left style="medium">
        <color indexed="64"/>
      </left>
      <right/>
      <top/>
      <bottom style="thin">
        <color theme="0" tint="-0.499984740745262"/>
      </bottom>
      <diagonal/>
    </border>
    <border>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medium">
        <color indexed="64"/>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style="thin">
        <color indexed="64"/>
      </bottom>
      <diagonal/>
    </border>
    <border>
      <left style="thin">
        <color theme="0" tint="-0.499984740745262"/>
      </left>
      <right/>
      <top style="thin">
        <color indexed="64"/>
      </top>
      <bottom style="thin">
        <color indexed="64"/>
      </bottom>
      <diagonal/>
    </border>
    <border>
      <left style="thin">
        <color theme="0" tint="-0.499984740745262"/>
      </left>
      <right/>
      <top style="medium">
        <color indexed="64"/>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right style="thin">
        <color theme="0" tint="-0.499984740745262"/>
      </right>
      <top style="thin">
        <color indexed="64"/>
      </top>
      <bottom style="medium">
        <color indexed="64"/>
      </bottom>
      <diagonal/>
    </border>
    <border>
      <left style="thin">
        <color theme="0" tint="-0.499984740745262"/>
      </left>
      <right style="thin">
        <color indexed="64"/>
      </right>
      <top/>
      <bottom style="thin">
        <color indexed="64"/>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indexed="64"/>
      </right>
      <top style="medium">
        <color indexed="64"/>
      </top>
      <bottom style="thin">
        <color indexed="64"/>
      </bottom>
      <diagonal/>
    </border>
    <border>
      <left style="thin">
        <color indexed="64"/>
      </left>
      <right style="thin">
        <color indexed="64"/>
      </right>
      <top style="thin">
        <color indexed="64"/>
      </top>
      <bottom style="thin">
        <color theme="0" tint="-0.499984740745262"/>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medium">
        <color indexed="64"/>
      </bottom>
      <diagonal/>
    </border>
    <border>
      <left style="medium">
        <color indexed="64"/>
      </left>
      <right/>
      <top style="thin">
        <color theme="0" tint="-0.499984740745262"/>
      </top>
      <bottom/>
      <diagonal/>
    </border>
    <border>
      <left style="medium">
        <color indexed="64"/>
      </left>
      <right/>
      <top style="thin">
        <color theme="0" tint="-0.499984740745262"/>
      </top>
      <bottom style="thin">
        <color indexed="64"/>
      </bottom>
      <diagonal/>
    </border>
    <border>
      <left style="thin">
        <color indexed="64"/>
      </left>
      <right/>
      <top style="medium">
        <color indexed="64"/>
      </top>
      <bottom style="thin">
        <color indexed="64"/>
      </bottom>
      <diagonal/>
    </border>
    <border>
      <left style="medium">
        <color rgb="FF000000"/>
      </left>
      <right style="medium">
        <color rgb="FF000000"/>
      </right>
      <top style="medium">
        <color indexed="64"/>
      </top>
      <bottom style="medium">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style="thin">
        <color indexed="64"/>
      </right>
      <top style="thin">
        <color theme="0" tint="-0.34998626667073579"/>
      </top>
      <bottom/>
      <diagonal/>
    </border>
    <border>
      <left style="thin">
        <color theme="0" tint="-0.34998626667073579"/>
      </left>
      <right style="thin">
        <color indexed="64"/>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style="thin">
        <color indexed="64"/>
      </left>
      <right style="thin">
        <color indexed="64"/>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right style="thin">
        <color indexed="64"/>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style="medium">
        <color indexed="64"/>
      </left>
      <right style="thin">
        <color indexed="64"/>
      </right>
      <top style="thin">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style="thin">
        <color indexed="64"/>
      </left>
      <right style="thin">
        <color indexed="64"/>
      </right>
      <top/>
      <bottom style="thin">
        <color theme="0" tint="-0.34998626667073579"/>
      </bottom>
      <diagonal/>
    </border>
    <border>
      <left/>
      <right style="thin">
        <color indexed="64"/>
      </right>
      <top style="thin">
        <color indexed="64"/>
      </top>
      <bottom style="thin">
        <color theme="0" tint="-0.34998626667073579"/>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theme="0" tint="-0.34998626667073579"/>
      </right>
      <top style="medium">
        <color indexed="64"/>
      </top>
      <bottom style="thin">
        <color indexed="64"/>
      </bottom>
      <diagonal/>
    </border>
    <border>
      <left style="thin">
        <color theme="0" tint="-0.34998626667073579"/>
      </left>
      <right style="thin">
        <color indexed="64"/>
      </right>
      <top style="thin">
        <color indexed="64"/>
      </top>
      <bottom style="medium">
        <color indexed="64"/>
      </bottom>
      <diagonal/>
    </border>
    <border>
      <left style="thin">
        <color indexed="64"/>
      </left>
      <right style="thin">
        <color theme="0" tint="-0.34998626667073579"/>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rgb="FF000000"/>
      </left>
      <right style="medium">
        <color rgb="FF000000"/>
      </right>
      <top/>
      <bottom style="thin">
        <color theme="0" tint="-0.249977111117893"/>
      </bottom>
      <diagonal/>
    </border>
    <border>
      <left style="medium">
        <color rgb="FF000000"/>
      </left>
      <right style="medium">
        <color indexed="64"/>
      </right>
      <top/>
      <bottom style="thin">
        <color theme="0" tint="-0.249977111117893"/>
      </bottom>
      <diagonal/>
    </border>
    <border>
      <left/>
      <right style="medium">
        <color indexed="64"/>
      </right>
      <top style="thin">
        <color theme="0" tint="-0.499984740745262"/>
      </top>
      <bottom/>
      <diagonal/>
    </border>
    <border>
      <left style="thin">
        <color theme="0" tint="-0.499984740745262"/>
      </left>
      <right/>
      <top/>
      <bottom/>
      <diagonal/>
    </border>
    <border>
      <left/>
      <right/>
      <top/>
      <bottom style="thin">
        <color theme="0" tint="-0.499984740745262"/>
      </bottom>
      <diagonal/>
    </border>
    <border>
      <left/>
      <right style="thin">
        <color indexed="64"/>
      </right>
      <top style="thin">
        <color theme="0" tint="-0.499984740745262"/>
      </top>
      <bottom/>
      <diagonal/>
    </border>
    <border>
      <left/>
      <right style="thin">
        <color indexed="64"/>
      </right>
      <top/>
      <bottom/>
      <diagonal/>
    </border>
    <border>
      <left style="thin">
        <color theme="0" tint="-0.34998626667073579"/>
      </left>
      <right style="thin">
        <color theme="0" tint="-0.34998626667073579"/>
      </right>
      <top/>
      <bottom/>
      <diagonal/>
    </border>
    <border>
      <left/>
      <right style="thin">
        <color theme="0" tint="-0.34998626667073579"/>
      </right>
      <top/>
      <bottom/>
      <diagonal/>
    </border>
    <border>
      <left style="thin">
        <color theme="0" tint="-0.34998626667073579"/>
      </left>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medium">
        <color indexed="64"/>
      </left>
      <right style="thin">
        <color theme="0" tint="-0.499984740745262"/>
      </right>
      <top/>
      <bottom/>
      <diagonal/>
    </border>
    <border>
      <left/>
      <right/>
      <top style="thin">
        <color indexed="64"/>
      </top>
      <bottom style="medium">
        <color indexed="64"/>
      </bottom>
      <diagonal/>
    </border>
    <border>
      <left/>
      <right/>
      <top style="thin">
        <color indexed="64"/>
      </top>
      <bottom/>
      <diagonal/>
    </border>
    <border>
      <left style="medium">
        <color indexed="64"/>
      </left>
      <right/>
      <top style="thin">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style="thin">
        <color indexed="64"/>
      </bottom>
      <diagonal/>
    </border>
  </borders>
  <cellStyleXfs count="8">
    <xf numFmtId="0" fontId="0" fillId="0" borderId="0"/>
    <xf numFmtId="43" fontId="20" fillId="0" borderId="0" applyFont="0" applyFill="0" applyBorder="0" applyAlignment="0" applyProtection="0"/>
    <xf numFmtId="9" fontId="20" fillId="0" borderId="0" applyFont="0" applyFill="0" applyBorder="0" applyAlignment="0" applyProtection="0"/>
    <xf numFmtId="0" fontId="26" fillId="0" borderId="0"/>
    <xf numFmtId="9" fontId="26" fillId="0" borderId="0" applyFont="0" applyFill="0" applyBorder="0" applyAlignment="0" applyProtection="0"/>
    <xf numFmtId="0" fontId="30" fillId="0" borderId="0"/>
    <xf numFmtId="0" fontId="37" fillId="0" borderId="0"/>
    <xf numFmtId="0" fontId="46" fillId="0" borderId="0" applyNumberFormat="0" applyFill="0" applyBorder="0" applyAlignment="0" applyProtection="0"/>
  </cellStyleXfs>
  <cellXfs count="1676">
    <xf numFmtId="0" fontId="0" fillId="0" borderId="0" xfId="0"/>
    <xf numFmtId="0" fontId="1" fillId="0" borderId="0" xfId="0" applyFont="1"/>
    <xf numFmtId="14" fontId="6" fillId="0" borderId="0" xfId="0" applyNumberFormat="1" applyFont="1" applyAlignment="1">
      <alignment horizontal="left" vertical="center"/>
    </xf>
    <xf numFmtId="0" fontId="7" fillId="0" borderId="0" xfId="0" applyFont="1"/>
    <xf numFmtId="0" fontId="6" fillId="0" borderId="0" xfId="0" applyFont="1" applyAlignment="1">
      <alignment horizontal="right" vertical="center"/>
    </xf>
    <xf numFmtId="0" fontId="4"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vertical="center"/>
    </xf>
    <xf numFmtId="43" fontId="10" fillId="0" borderId="0" xfId="0" applyNumberFormat="1" applyFont="1" applyAlignment="1">
      <alignment horizontal="center" vertical="center"/>
    </xf>
    <xf numFmtId="0" fontId="0" fillId="0" borderId="0" xfId="0" applyAlignment="1">
      <alignment vertical="center"/>
    </xf>
    <xf numFmtId="0" fontId="4" fillId="8" borderId="47" xfId="0" applyFont="1" applyFill="1" applyBorder="1" applyAlignment="1">
      <alignment horizontal="center" vertical="center"/>
    </xf>
    <xf numFmtId="164" fontId="4" fillId="8" borderId="49" xfId="0" applyNumberFormat="1" applyFont="1" applyFill="1" applyBorder="1" applyAlignment="1">
      <alignment vertical="center"/>
    </xf>
    <xf numFmtId="0" fontId="10" fillId="0" borderId="50" xfId="0" applyFont="1" applyBorder="1" applyAlignment="1">
      <alignment horizontal="center" vertical="center"/>
    </xf>
    <xf numFmtId="164" fontId="10" fillId="0" borderId="24" xfId="0" applyNumberFormat="1" applyFont="1" applyBorder="1" applyAlignment="1">
      <alignment vertical="center"/>
    </xf>
    <xf numFmtId="164" fontId="10" fillId="0" borderId="18" xfId="0" applyNumberFormat="1" applyFont="1" applyBorder="1" applyAlignment="1">
      <alignment vertical="center"/>
    </xf>
    <xf numFmtId="164" fontId="10" fillId="7" borderId="18" xfId="0" applyNumberFormat="1" applyFont="1" applyFill="1" applyBorder="1" applyAlignment="1">
      <alignment vertical="center"/>
    </xf>
    <xf numFmtId="164" fontId="10" fillId="7" borderId="29" xfId="0" applyNumberFormat="1" applyFont="1" applyFill="1" applyBorder="1" applyAlignment="1">
      <alignment vertical="center"/>
    </xf>
    <xf numFmtId="0" fontId="4" fillId="8" borderId="52" xfId="0" applyFont="1" applyFill="1" applyBorder="1" applyAlignment="1">
      <alignment horizontal="center" vertical="center"/>
    </xf>
    <xf numFmtId="0" fontId="4" fillId="8" borderId="48" xfId="0" applyFont="1" applyFill="1" applyBorder="1" applyAlignment="1">
      <alignment vertical="center"/>
    </xf>
    <xf numFmtId="164" fontId="4" fillId="8" borderId="9" xfId="0" applyNumberFormat="1" applyFont="1" applyFill="1" applyBorder="1" applyAlignment="1">
      <alignment vertical="center"/>
    </xf>
    <xf numFmtId="164" fontId="10" fillId="7" borderId="8" xfId="0" applyNumberFormat="1" applyFont="1" applyFill="1" applyBorder="1" applyAlignment="1">
      <alignment vertical="center"/>
    </xf>
    <xf numFmtId="0" fontId="15" fillId="0" borderId="0" xfId="0" applyFont="1" applyAlignment="1">
      <alignment vertical="center"/>
    </xf>
    <xf numFmtId="164" fontId="4" fillId="8" borderId="53" xfId="0" applyNumberFormat="1" applyFont="1" applyFill="1" applyBorder="1" applyAlignment="1">
      <alignment vertical="center"/>
    </xf>
    <xf numFmtId="164" fontId="4" fillId="8" borderId="45" xfId="0" applyNumberFormat="1" applyFont="1" applyFill="1" applyBorder="1" applyAlignment="1">
      <alignment vertical="center"/>
    </xf>
    <xf numFmtId="0" fontId="10" fillId="0" borderId="25" xfId="0" applyFont="1" applyBorder="1" applyAlignment="1">
      <alignment vertical="center"/>
    </xf>
    <xf numFmtId="0" fontId="4" fillId="8" borderId="26" xfId="0" applyFont="1" applyFill="1" applyBorder="1" applyAlignment="1">
      <alignment vertical="center"/>
    </xf>
    <xf numFmtId="164" fontId="10" fillId="7" borderId="30" xfId="0" applyNumberFormat="1" applyFont="1" applyFill="1" applyBorder="1" applyAlignment="1">
      <alignment vertical="center"/>
    </xf>
    <xf numFmtId="0" fontId="4" fillId="0" borderId="50" xfId="0" applyFont="1" applyBorder="1" applyAlignment="1">
      <alignment vertical="center"/>
    </xf>
    <xf numFmtId="164" fontId="10" fillId="0" borderId="0" xfId="0" applyNumberFormat="1" applyFont="1" applyAlignment="1">
      <alignment vertical="center"/>
    </xf>
    <xf numFmtId="0" fontId="10" fillId="0" borderId="0" xfId="0" applyFont="1" applyAlignment="1">
      <alignment vertical="center" wrapText="1"/>
    </xf>
    <xf numFmtId="0" fontId="10" fillId="0" borderId="54" xfId="0" applyFont="1" applyBorder="1" applyAlignment="1">
      <alignment vertical="center"/>
    </xf>
    <xf numFmtId="164" fontId="10" fillId="0" borderId="55" xfId="0" applyNumberFormat="1" applyFont="1" applyBorder="1" applyAlignment="1">
      <alignment horizontal="right" vertical="center"/>
    </xf>
    <xf numFmtId="164" fontId="10" fillId="0" borderId="56" xfId="0" applyNumberFormat="1" applyFont="1" applyBorder="1" applyAlignment="1">
      <alignment horizontal="right" vertical="center"/>
    </xf>
    <xf numFmtId="164" fontId="10" fillId="0" borderId="2" xfId="0" applyNumberFormat="1" applyFont="1" applyBorder="1" applyAlignment="1">
      <alignment vertical="center"/>
    </xf>
    <xf numFmtId="164" fontId="4" fillId="8" borderId="57" xfId="0" applyNumberFormat="1" applyFont="1" applyFill="1" applyBorder="1" applyAlignment="1">
      <alignment vertical="center"/>
    </xf>
    <xf numFmtId="164" fontId="10" fillId="0" borderId="0" xfId="0" applyNumberFormat="1" applyFont="1" applyAlignment="1">
      <alignment horizontal="center" vertical="center"/>
    </xf>
    <xf numFmtId="0" fontId="22" fillId="0" borderId="0" xfId="0" applyFont="1" applyAlignment="1">
      <alignment horizontal="right" vertical="center"/>
    </xf>
    <xf numFmtId="164" fontId="10" fillId="8" borderId="57" xfId="0" applyNumberFormat="1" applyFont="1" applyFill="1" applyBorder="1" applyAlignment="1">
      <alignment horizontal="center" vertical="center"/>
    </xf>
    <xf numFmtId="164" fontId="10" fillId="8" borderId="58" xfId="0" applyNumberFormat="1" applyFont="1" applyFill="1" applyBorder="1" applyAlignment="1">
      <alignment horizontal="center" vertical="center"/>
    </xf>
    <xf numFmtId="0" fontId="23" fillId="0" borderId="0" xfId="0" applyFont="1" applyAlignment="1">
      <alignment horizontal="right" vertical="center"/>
    </xf>
    <xf numFmtId="0" fontId="14" fillId="0" borderId="0" xfId="0" applyFont="1" applyAlignment="1">
      <alignment vertical="center"/>
    </xf>
    <xf numFmtId="0" fontId="10" fillId="0" borderId="0" xfId="0" applyFont="1" applyAlignment="1">
      <alignment horizontal="left" vertical="center"/>
    </xf>
    <xf numFmtId="0" fontId="14" fillId="0" borderId="0" xfId="0" applyFont="1" applyAlignment="1">
      <alignment horizontal="left" vertical="center"/>
    </xf>
    <xf numFmtId="0" fontId="4" fillId="2" borderId="26" xfId="0" applyFont="1" applyFill="1" applyBorder="1" applyAlignment="1">
      <alignment vertical="center" wrapText="1"/>
    </xf>
    <xf numFmtId="0" fontId="4" fillId="5" borderId="9" xfId="0" applyFont="1" applyFill="1" applyBorder="1" applyAlignment="1">
      <alignment vertical="center"/>
    </xf>
    <xf numFmtId="0" fontId="4" fillId="5" borderId="5" xfId="0" applyFont="1" applyFill="1" applyBorder="1" applyAlignment="1">
      <alignment vertical="center"/>
    </xf>
    <xf numFmtId="43" fontId="4" fillId="5" borderId="5" xfId="1" applyFont="1" applyFill="1" applyBorder="1" applyAlignment="1" applyProtection="1">
      <alignment vertical="center"/>
    </xf>
    <xf numFmtId="165" fontId="13" fillId="2" borderId="26" xfId="2" applyNumberFormat="1" applyFont="1" applyFill="1" applyBorder="1" applyAlignment="1" applyProtection="1">
      <alignment horizontal="center"/>
    </xf>
    <xf numFmtId="164" fontId="4" fillId="5" borderId="47" xfId="0" applyNumberFormat="1" applyFont="1" applyFill="1" applyBorder="1" applyAlignment="1">
      <alignment vertical="center"/>
    </xf>
    <xf numFmtId="164" fontId="10" fillId="6" borderId="9" xfId="0" applyNumberFormat="1" applyFont="1" applyFill="1" applyBorder="1" applyAlignment="1">
      <alignment vertical="center"/>
    </xf>
    <xf numFmtId="164" fontId="4" fillId="5" borderId="52" xfId="0" applyNumberFormat="1" applyFont="1" applyFill="1" applyBorder="1" applyAlignment="1">
      <alignment vertical="center"/>
    </xf>
    <xf numFmtId="0" fontId="4" fillId="5" borderId="48" xfId="0" applyFont="1" applyFill="1" applyBorder="1" applyAlignment="1">
      <alignment vertical="center"/>
    </xf>
    <xf numFmtId="164" fontId="4" fillId="5" borderId="0" xfId="0" applyNumberFormat="1" applyFont="1" applyFill="1" applyAlignment="1">
      <alignment vertical="center"/>
    </xf>
    <xf numFmtId="0" fontId="4" fillId="8" borderId="5" xfId="0" applyFont="1" applyFill="1" applyBorder="1" applyAlignment="1">
      <alignment vertical="center"/>
    </xf>
    <xf numFmtId="0" fontId="4" fillId="8" borderId="9" xfId="0" applyFont="1" applyFill="1" applyBorder="1" applyAlignment="1">
      <alignment horizontal="center" vertical="center"/>
    </xf>
    <xf numFmtId="0" fontId="4" fillId="5" borderId="6" xfId="0" applyFont="1" applyFill="1" applyBorder="1" applyAlignment="1">
      <alignment vertical="center"/>
    </xf>
    <xf numFmtId="164" fontId="10" fillId="12" borderId="5" xfId="0" applyNumberFormat="1" applyFont="1" applyFill="1" applyBorder="1" applyAlignment="1">
      <alignment vertical="center"/>
    </xf>
    <xf numFmtId="164" fontId="10" fillId="0" borderId="3" xfId="0" applyNumberFormat="1" applyFont="1" applyBorder="1" applyAlignment="1">
      <alignment vertical="center"/>
    </xf>
    <xf numFmtId="0" fontId="2" fillId="0" borderId="0" xfId="0" applyFont="1" applyAlignment="1">
      <alignment horizontal="right" vertical="center"/>
    </xf>
    <xf numFmtId="164" fontId="10" fillId="7" borderId="24" xfId="0" applyNumberFormat="1" applyFont="1" applyFill="1" applyBorder="1" applyAlignment="1">
      <alignment vertical="center"/>
    </xf>
    <xf numFmtId="164" fontId="4" fillId="5" borderId="5" xfId="0" applyNumberFormat="1" applyFont="1" applyFill="1" applyBorder="1" applyAlignment="1">
      <alignment vertical="center"/>
    </xf>
    <xf numFmtId="164" fontId="4" fillId="8" borderId="5" xfId="0" applyNumberFormat="1" applyFont="1" applyFill="1" applyBorder="1" applyAlignment="1">
      <alignment horizontal="center" vertical="center"/>
    </xf>
    <xf numFmtId="164" fontId="10" fillId="7" borderId="61" xfId="0" applyNumberFormat="1" applyFont="1" applyFill="1" applyBorder="1" applyAlignment="1">
      <alignment horizontal="right" vertical="center"/>
    </xf>
    <xf numFmtId="164" fontId="10" fillId="7" borderId="62" xfId="0" applyNumberFormat="1" applyFont="1" applyFill="1" applyBorder="1" applyAlignment="1">
      <alignment horizontal="right" vertical="center"/>
    </xf>
    <xf numFmtId="164" fontId="10" fillId="7" borderId="63" xfId="0" applyNumberFormat="1" applyFont="1" applyFill="1" applyBorder="1" applyAlignment="1">
      <alignment horizontal="right" vertical="center"/>
    </xf>
    <xf numFmtId="0" fontId="10" fillId="0" borderId="34" xfId="0" applyFont="1" applyBorder="1" applyAlignment="1">
      <alignment vertical="center"/>
    </xf>
    <xf numFmtId="165" fontId="10" fillId="0" borderId="0" xfId="2" applyNumberFormat="1" applyFont="1" applyAlignment="1" applyProtection="1">
      <alignment horizontal="center" vertical="center"/>
    </xf>
    <xf numFmtId="165" fontId="6" fillId="0" borderId="42" xfId="2" applyNumberFormat="1" applyFont="1" applyBorder="1" applyAlignment="1" applyProtection="1">
      <alignment horizontal="right" vertical="center"/>
    </xf>
    <xf numFmtId="165" fontId="4" fillId="8" borderId="5" xfId="2" applyNumberFormat="1" applyFont="1" applyFill="1" applyBorder="1" applyAlignment="1" applyProtection="1">
      <alignment horizontal="right" vertical="center"/>
    </xf>
    <xf numFmtId="165" fontId="10" fillId="0" borderId="0" xfId="2" applyNumberFormat="1" applyFont="1" applyAlignment="1" applyProtection="1">
      <alignment horizontal="right" vertical="center"/>
    </xf>
    <xf numFmtId="165" fontId="10" fillId="8" borderId="59" xfId="2" applyNumberFormat="1" applyFont="1" applyFill="1" applyBorder="1" applyAlignment="1" applyProtection="1">
      <alignment horizontal="right" vertical="center"/>
    </xf>
    <xf numFmtId="165" fontId="0" fillId="0" borderId="0" xfId="2" applyNumberFormat="1" applyFont="1" applyAlignment="1" applyProtection="1"/>
    <xf numFmtId="0" fontId="4" fillId="11" borderId="5" xfId="0" applyFont="1" applyFill="1" applyBorder="1" applyAlignment="1">
      <alignment horizontal="right" vertical="center"/>
    </xf>
    <xf numFmtId="0" fontId="8" fillId="11" borderId="9" xfId="0" applyFont="1" applyFill="1" applyBorder="1" applyAlignment="1">
      <alignment horizontal="center" vertical="center" wrapText="1"/>
    </xf>
    <xf numFmtId="43" fontId="8" fillId="11" borderId="5" xfId="1" applyFont="1" applyFill="1" applyBorder="1" applyAlignment="1" applyProtection="1">
      <alignment horizontal="center" vertical="center" wrapText="1"/>
    </xf>
    <xf numFmtId="165" fontId="4" fillId="11" borderId="26" xfId="2" applyNumberFormat="1" applyFont="1" applyFill="1" applyBorder="1" applyAlignment="1" applyProtection="1">
      <alignment horizontal="center" wrapText="1"/>
    </xf>
    <xf numFmtId="0" fontId="4" fillId="11" borderId="9" xfId="0" applyFont="1" applyFill="1" applyBorder="1" applyAlignment="1">
      <alignment vertical="center" wrapText="1"/>
    </xf>
    <xf numFmtId="0" fontId="4" fillId="11" borderId="9" xfId="0" applyFont="1" applyFill="1" applyBorder="1" applyAlignment="1">
      <alignment horizontal="center" vertical="center" wrapText="1"/>
    </xf>
    <xf numFmtId="0" fontId="10" fillId="2" borderId="5" xfId="0" applyFont="1" applyFill="1" applyBorder="1" applyAlignment="1">
      <alignment horizontal="right" vertical="center"/>
    </xf>
    <xf numFmtId="0" fontId="8" fillId="2" borderId="9" xfId="0" applyFont="1" applyFill="1" applyBorder="1" applyAlignment="1">
      <alignment horizontal="center" vertical="center" wrapText="1"/>
    </xf>
    <xf numFmtId="165" fontId="10" fillId="2" borderId="5" xfId="2" applyNumberFormat="1" applyFont="1" applyFill="1" applyBorder="1" applyAlignment="1" applyProtection="1">
      <alignment horizontal="center" wrapText="1"/>
    </xf>
    <xf numFmtId="0" fontId="8" fillId="2" borderId="5" xfId="0" applyFont="1" applyFill="1" applyBorder="1" applyAlignment="1">
      <alignment horizontal="right" vertical="center" wrapText="1"/>
    </xf>
    <xf numFmtId="0" fontId="8" fillId="2" borderId="26" xfId="0" applyFont="1" applyFill="1" applyBorder="1" applyAlignment="1">
      <alignment horizontal="center" vertical="center" wrapText="1"/>
    </xf>
    <xf numFmtId="0" fontId="8" fillId="2" borderId="26" xfId="0" applyFont="1" applyFill="1" applyBorder="1" applyAlignment="1">
      <alignment vertical="center" wrapText="1"/>
    </xf>
    <xf numFmtId="43" fontId="4" fillId="2" borderId="26" xfId="1" applyFont="1" applyFill="1" applyBorder="1" applyAlignment="1" applyProtection="1">
      <alignment horizontal="right" vertical="center" wrapText="1"/>
    </xf>
    <xf numFmtId="0" fontId="10" fillId="2" borderId="5" xfId="0" applyFont="1" applyFill="1" applyBorder="1" applyAlignment="1">
      <alignment horizontal="right" vertical="center" wrapText="1"/>
    </xf>
    <xf numFmtId="43" fontId="8" fillId="2" borderId="5" xfId="1" applyFont="1" applyFill="1" applyBorder="1" applyAlignment="1" applyProtection="1">
      <alignment horizontal="right" vertical="center" wrapText="1"/>
    </xf>
    <xf numFmtId="0" fontId="10" fillId="0" borderId="24" xfId="0" applyFont="1" applyBorder="1" applyAlignment="1">
      <alignment horizontal="right" vertical="center"/>
    </xf>
    <xf numFmtId="0" fontId="9" fillId="0" borderId="0" xfId="0" applyFont="1" applyAlignment="1">
      <alignment horizontal="left" vertical="center" wrapText="1"/>
    </xf>
    <xf numFmtId="43" fontId="9" fillId="0" borderId="24" xfId="1" applyFont="1" applyFill="1" applyBorder="1" applyAlignment="1" applyProtection="1">
      <alignment horizontal="right" vertical="center" wrapText="1"/>
    </xf>
    <xf numFmtId="0" fontId="10" fillId="0" borderId="24" xfId="0" applyFont="1" applyBorder="1" applyAlignment="1">
      <alignment horizontal="right" vertical="center" wrapText="1"/>
    </xf>
    <xf numFmtId="43" fontId="8" fillId="0" borderId="24" xfId="1" applyFont="1" applyFill="1" applyBorder="1" applyAlignment="1" applyProtection="1">
      <alignment horizontal="right" vertical="center" wrapText="1"/>
    </xf>
    <xf numFmtId="0" fontId="8" fillId="10" borderId="0" xfId="0" applyFont="1" applyFill="1" applyAlignment="1">
      <alignment horizontal="left" vertical="center" wrapText="1"/>
    </xf>
    <xf numFmtId="0" fontId="9" fillId="0" borderId="0" xfId="0" applyFont="1" applyAlignment="1">
      <alignment vertical="center" wrapText="1"/>
    </xf>
    <xf numFmtId="43" fontId="8" fillId="10" borderId="24" xfId="1" applyFont="1" applyFill="1" applyBorder="1" applyAlignment="1" applyProtection="1">
      <alignment horizontal="right" vertical="center" wrapText="1"/>
    </xf>
    <xf numFmtId="43" fontId="11" fillId="0" borderId="24" xfId="1" applyFont="1" applyFill="1" applyBorder="1" applyAlignment="1" applyProtection="1">
      <alignment horizontal="right" vertical="center" wrapText="1"/>
    </xf>
    <xf numFmtId="0" fontId="9" fillId="0" borderId="24" xfId="0" applyFont="1" applyBorder="1" applyAlignment="1">
      <alignment horizontal="right" vertical="center" wrapText="1"/>
    </xf>
    <xf numFmtId="0" fontId="25" fillId="0" borderId="0" xfId="0" applyFont="1" applyAlignment="1">
      <alignment vertical="center" wrapText="1"/>
    </xf>
    <xf numFmtId="43" fontId="10" fillId="0" borderId="24" xfId="1" applyFont="1" applyFill="1" applyBorder="1" applyAlignment="1" applyProtection="1">
      <alignment horizontal="right" vertical="center" wrapText="1"/>
    </xf>
    <xf numFmtId="0" fontId="10" fillId="0" borderId="0" xfId="0" applyFont="1" applyAlignment="1">
      <alignment horizontal="left" vertical="center" wrapText="1"/>
    </xf>
    <xf numFmtId="43" fontId="10" fillId="0" borderId="24" xfId="1" applyFont="1" applyFill="1" applyBorder="1" applyAlignment="1" applyProtection="1">
      <alignment horizontal="right" vertical="center"/>
    </xf>
    <xf numFmtId="0" fontId="9" fillId="2" borderId="5" xfId="0" applyFont="1" applyFill="1" applyBorder="1" applyAlignment="1">
      <alignment horizontal="right" vertical="center" wrapText="1"/>
    </xf>
    <xf numFmtId="0" fontId="9" fillId="0" borderId="24" xfId="0" applyFont="1" applyBorder="1" applyAlignment="1">
      <alignment vertical="center" wrapText="1"/>
    </xf>
    <xf numFmtId="43" fontId="4" fillId="2" borderId="5" xfId="1" applyFont="1" applyFill="1" applyBorder="1" applyAlignment="1" applyProtection="1">
      <alignment horizontal="right" vertical="center" wrapText="1"/>
    </xf>
    <xf numFmtId="0" fontId="9" fillId="0" borderId="24" xfId="0" applyFont="1" applyBorder="1" applyAlignment="1">
      <alignment horizontal="right" vertical="center"/>
    </xf>
    <xf numFmtId="0" fontId="14" fillId="0" borderId="24" xfId="0" applyFont="1" applyBorder="1" applyAlignment="1">
      <alignment horizontal="right" vertical="center"/>
    </xf>
    <xf numFmtId="43" fontId="4" fillId="0" borderId="24" xfId="1" applyFont="1" applyFill="1" applyBorder="1" applyAlignment="1" applyProtection="1">
      <alignment horizontal="right" vertical="center"/>
    </xf>
    <xf numFmtId="43" fontId="10" fillId="0" borderId="2" xfId="1" applyFont="1" applyFill="1" applyBorder="1" applyAlignment="1" applyProtection="1">
      <alignment vertical="center" wrapText="1"/>
    </xf>
    <xf numFmtId="165" fontId="10" fillId="2" borderId="0" xfId="2" applyNumberFormat="1" applyFont="1" applyFill="1" applyBorder="1" applyAlignment="1" applyProtection="1">
      <alignment horizontal="center" wrapText="1"/>
    </xf>
    <xf numFmtId="43" fontId="10" fillId="0" borderId="24" xfId="1" applyFont="1" applyFill="1" applyBorder="1" applyAlignment="1" applyProtection="1">
      <alignment vertical="center" wrapText="1"/>
    </xf>
    <xf numFmtId="43" fontId="4" fillId="2" borderId="5" xfId="1" applyFont="1" applyFill="1" applyBorder="1" applyAlignment="1" applyProtection="1">
      <alignment horizontal="right" vertical="center"/>
    </xf>
    <xf numFmtId="0" fontId="8" fillId="10" borderId="24" xfId="0" applyFont="1" applyFill="1" applyBorder="1" applyAlignment="1">
      <alignment vertical="center" wrapText="1"/>
    </xf>
    <xf numFmtId="0" fontId="0" fillId="0" borderId="0" xfId="0" applyAlignment="1">
      <alignment horizontal="right" vertical="center"/>
    </xf>
    <xf numFmtId="0" fontId="0" fillId="0" borderId="0" xfId="0" applyAlignment="1">
      <alignment vertical="center" wrapText="1"/>
    </xf>
    <xf numFmtId="43" fontId="0" fillId="0" borderId="0" xfId="1" applyFont="1" applyBorder="1" applyAlignment="1" applyProtection="1">
      <alignment vertical="center" wrapText="1"/>
    </xf>
    <xf numFmtId="165" fontId="0" fillId="0" borderId="0" xfId="2" applyNumberFormat="1" applyFont="1" applyBorder="1" applyAlignment="1" applyProtection="1">
      <alignment horizontal="center" wrapText="1"/>
    </xf>
    <xf numFmtId="0" fontId="0" fillId="0" borderId="0" xfId="0" applyAlignment="1">
      <alignment horizontal="right" vertical="center" wrapText="1"/>
    </xf>
    <xf numFmtId="43" fontId="0" fillId="0" borderId="0" xfId="1" applyFont="1" applyBorder="1" applyAlignment="1" applyProtection="1">
      <alignment vertical="center"/>
    </xf>
    <xf numFmtId="165" fontId="0" fillId="0" borderId="0" xfId="2" applyNumberFormat="1" applyFont="1" applyBorder="1" applyAlignment="1" applyProtection="1">
      <alignment horizontal="center"/>
    </xf>
    <xf numFmtId="43" fontId="0" fillId="0" borderId="0" xfId="1" applyFont="1" applyAlignment="1" applyProtection="1">
      <alignment vertical="center" wrapText="1"/>
    </xf>
    <xf numFmtId="165" fontId="0" fillId="0" borderId="0" xfId="2" applyNumberFormat="1" applyFont="1" applyAlignment="1" applyProtection="1">
      <alignment horizontal="center" wrapText="1"/>
    </xf>
    <xf numFmtId="43" fontId="0" fillId="0" borderId="0" xfId="1" applyFont="1" applyAlignment="1" applyProtection="1">
      <alignment vertical="center"/>
    </xf>
    <xf numFmtId="165" fontId="0" fillId="0" borderId="0" xfId="2" applyNumberFormat="1" applyFont="1" applyAlignment="1" applyProtection="1">
      <alignment horizontal="center"/>
    </xf>
    <xf numFmtId="0" fontId="8" fillId="0" borderId="22" xfId="0" applyFont="1" applyBorder="1" applyAlignment="1">
      <alignment vertical="center" wrapText="1"/>
    </xf>
    <xf numFmtId="0" fontId="9" fillId="0" borderId="30" xfId="0" applyFont="1" applyBorder="1" applyAlignment="1">
      <alignment vertical="center" wrapText="1"/>
    </xf>
    <xf numFmtId="0" fontId="9" fillId="0" borderId="29" xfId="0" applyFont="1" applyBorder="1" applyAlignment="1">
      <alignment vertical="center" wrapText="1"/>
    </xf>
    <xf numFmtId="0" fontId="15" fillId="0" borderId="20" xfId="0" applyFont="1" applyBorder="1" applyAlignment="1">
      <alignment vertical="center" wrapText="1"/>
    </xf>
    <xf numFmtId="0" fontId="9" fillId="0" borderId="11" xfId="0" applyFont="1" applyBorder="1" applyAlignment="1">
      <alignment vertical="center" wrapText="1"/>
    </xf>
    <xf numFmtId="0" fontId="9" fillId="0" borderId="18" xfId="0" applyFont="1" applyBorder="1" applyAlignment="1">
      <alignment vertical="center" wrapText="1"/>
    </xf>
    <xf numFmtId="0" fontId="9" fillId="0" borderId="12" xfId="0" applyFont="1" applyBorder="1" applyAlignment="1">
      <alignment vertical="center" wrapText="1"/>
    </xf>
    <xf numFmtId="0" fontId="8" fillId="6" borderId="5" xfId="0" applyFont="1" applyFill="1" applyBorder="1" applyAlignment="1">
      <alignment vertical="center" wrapText="1"/>
    </xf>
    <xf numFmtId="0" fontId="9" fillId="0" borderId="27" xfId="0" applyFont="1" applyBorder="1" applyAlignment="1">
      <alignment vertical="center" wrapText="1"/>
    </xf>
    <xf numFmtId="0" fontId="9" fillId="0" borderId="7" xfId="0" applyFont="1" applyBorder="1" applyAlignment="1">
      <alignment vertical="center" wrapText="1"/>
    </xf>
    <xf numFmtId="0" fontId="9" fillId="3" borderId="10" xfId="0" applyFont="1" applyFill="1" applyBorder="1" applyAlignment="1">
      <alignment vertical="center" wrapText="1"/>
    </xf>
    <xf numFmtId="0" fontId="9" fillId="0" borderId="20" xfId="0" applyFont="1" applyBorder="1" applyAlignment="1">
      <alignment vertical="center" wrapText="1"/>
    </xf>
    <xf numFmtId="0" fontId="9" fillId="0" borderId="10" xfId="0" applyFont="1" applyBorder="1" applyAlignment="1">
      <alignment vertical="center" wrapText="1"/>
    </xf>
    <xf numFmtId="0" fontId="9" fillId="3" borderId="11" xfId="0" applyFont="1" applyFill="1" applyBorder="1" applyAlignment="1">
      <alignment horizontal="left" vertical="center" wrapText="1" indent="2"/>
    </xf>
    <xf numFmtId="0" fontId="9" fillId="3" borderId="18" xfId="0" applyFont="1" applyFill="1" applyBorder="1" applyAlignment="1">
      <alignment horizontal="left" vertical="center" wrapText="1" indent="2"/>
    </xf>
    <xf numFmtId="0" fontId="9" fillId="3" borderId="29" xfId="0" applyFont="1" applyFill="1" applyBorder="1" applyAlignment="1">
      <alignment horizontal="left" vertical="center" wrapText="1" indent="2"/>
    </xf>
    <xf numFmtId="0" fontId="8" fillId="6" borderId="5" xfId="0" applyFont="1" applyFill="1" applyBorder="1" applyAlignment="1">
      <alignment horizontal="left" vertical="center" wrapText="1"/>
    </xf>
    <xf numFmtId="0" fontId="4" fillId="6" borderId="5" xfId="0" applyFont="1" applyFill="1" applyBorder="1" applyAlignment="1">
      <alignment vertical="center" wrapText="1"/>
    </xf>
    <xf numFmtId="0" fontId="9" fillId="3" borderId="12" xfId="0" applyFont="1" applyFill="1" applyBorder="1" applyAlignment="1">
      <alignment horizontal="left" vertical="center" wrapText="1" indent="2"/>
    </xf>
    <xf numFmtId="0" fontId="9" fillId="3" borderId="11" xfId="0" applyFont="1" applyFill="1" applyBorder="1" applyAlignment="1">
      <alignment vertical="center" wrapText="1"/>
    </xf>
    <xf numFmtId="0" fontId="9" fillId="3" borderId="18" xfId="0" applyFont="1" applyFill="1" applyBorder="1" applyAlignment="1">
      <alignment vertical="center" wrapText="1"/>
    </xf>
    <xf numFmtId="0" fontId="9" fillId="3" borderId="12" xfId="0" applyFont="1" applyFill="1" applyBorder="1" applyAlignment="1">
      <alignment vertical="center" wrapText="1"/>
    </xf>
    <xf numFmtId="0" fontId="8" fillId="6" borderId="2" xfId="0" applyFont="1" applyFill="1" applyBorder="1" applyAlignment="1">
      <alignment vertical="center" wrapText="1"/>
    </xf>
    <xf numFmtId="0" fontId="9" fillId="3" borderId="2" xfId="0" applyFont="1" applyFill="1" applyBorder="1" applyAlignment="1">
      <alignment vertical="center" wrapText="1"/>
    </xf>
    <xf numFmtId="0" fontId="10" fillId="0" borderId="10" xfId="0" applyFont="1" applyBorder="1"/>
    <xf numFmtId="0" fontId="8" fillId="2" borderId="5" xfId="0" applyFont="1" applyFill="1" applyBorder="1" applyAlignment="1">
      <alignment vertical="center" wrapText="1"/>
    </xf>
    <xf numFmtId="0" fontId="10" fillId="0" borderId="37" xfId="0" applyFont="1" applyBorder="1"/>
    <xf numFmtId="0" fontId="10" fillId="0" borderId="40" xfId="0" applyFont="1" applyBorder="1"/>
    <xf numFmtId="0" fontId="4" fillId="5" borderId="26" xfId="0" applyFont="1" applyFill="1" applyBorder="1" applyAlignment="1">
      <alignment vertical="center"/>
    </xf>
    <xf numFmtId="0" fontId="9" fillId="3" borderId="11" xfId="0" applyFont="1" applyFill="1" applyBorder="1" applyAlignment="1">
      <alignment horizontal="left" vertical="center" wrapText="1" indent="4"/>
    </xf>
    <xf numFmtId="0" fontId="9" fillId="3" borderId="18" xfId="0" applyFont="1" applyFill="1" applyBorder="1" applyAlignment="1">
      <alignment horizontal="left" vertical="center" wrapText="1" indent="4"/>
    </xf>
    <xf numFmtId="0" fontId="9" fillId="3" borderId="12" xfId="0" applyFont="1" applyFill="1" applyBorder="1" applyAlignment="1">
      <alignment horizontal="left" vertical="center" wrapText="1" indent="4"/>
    </xf>
    <xf numFmtId="0" fontId="8" fillId="10" borderId="5" xfId="0" applyFont="1" applyFill="1" applyBorder="1" applyAlignment="1">
      <alignment horizontal="left" vertical="center" wrapText="1" indent="2"/>
    </xf>
    <xf numFmtId="0" fontId="8" fillId="10" borderId="5" xfId="0" applyFont="1" applyFill="1" applyBorder="1" applyAlignment="1">
      <alignment vertical="center" wrapText="1"/>
    </xf>
    <xf numFmtId="0" fontId="4" fillId="10" borderId="5" xfId="0" applyFont="1" applyFill="1" applyBorder="1" applyAlignment="1">
      <alignment horizontal="left" vertical="center" wrapText="1" indent="2"/>
    </xf>
    <xf numFmtId="0" fontId="9" fillId="3" borderId="30" xfId="0" applyFont="1" applyFill="1" applyBorder="1" applyAlignment="1">
      <alignment horizontal="left" vertical="center" wrapText="1" indent="4"/>
    </xf>
    <xf numFmtId="0" fontId="4" fillId="10" borderId="5" xfId="0" applyFont="1" applyFill="1" applyBorder="1" applyAlignment="1">
      <alignment horizontal="left" indent="2"/>
    </xf>
    <xf numFmtId="0" fontId="8" fillId="10" borderId="14" xfId="0" applyFont="1" applyFill="1" applyBorder="1" applyAlignment="1">
      <alignment vertical="center" wrapText="1"/>
    </xf>
    <xf numFmtId="0" fontId="4" fillId="6" borderId="5" xfId="0" applyFont="1" applyFill="1" applyBorder="1"/>
    <xf numFmtId="0" fontId="9" fillId="0" borderId="11" xfId="0" applyFont="1" applyBorder="1" applyAlignment="1">
      <alignment horizontal="left" vertical="center" wrapText="1" indent="2"/>
    </xf>
    <xf numFmtId="0" fontId="9" fillId="0" borderId="18" xfId="0" applyFont="1" applyBorder="1" applyAlignment="1">
      <alignment horizontal="left" vertical="center" wrapText="1" indent="2"/>
    </xf>
    <xf numFmtId="0" fontId="9" fillId="0" borderId="12" xfId="0" applyFont="1" applyBorder="1" applyAlignment="1">
      <alignment horizontal="left" vertical="center" wrapText="1" indent="2"/>
    </xf>
    <xf numFmtId="0" fontId="10" fillId="0" borderId="7" xfId="0" applyFont="1" applyBorder="1"/>
    <xf numFmtId="0" fontId="3" fillId="0" borderId="0" xfId="0" applyFont="1"/>
    <xf numFmtId="0" fontId="8" fillId="9" borderId="4" xfId="0" applyFont="1" applyFill="1" applyBorder="1" applyAlignment="1">
      <alignment horizontal="left" vertical="center"/>
    </xf>
    <xf numFmtId="0" fontId="8" fillId="9" borderId="5" xfId="0" applyFont="1" applyFill="1" applyBorder="1" applyAlignment="1">
      <alignment vertical="center" wrapText="1"/>
    </xf>
    <xf numFmtId="0" fontId="4" fillId="9" borderId="5" xfId="0" applyFont="1" applyFill="1" applyBorder="1"/>
    <xf numFmtId="0" fontId="3" fillId="0" borderId="27" xfId="0" applyFont="1" applyBorder="1"/>
    <xf numFmtId="0" fontId="10" fillId="3" borderId="11" xfId="0" applyFont="1" applyFill="1" applyBorder="1" applyAlignment="1">
      <alignment horizontal="left" vertical="center" wrapText="1" indent="2"/>
    </xf>
    <xf numFmtId="0" fontId="9" fillId="3" borderId="24" xfId="0" applyFont="1" applyFill="1" applyBorder="1" applyAlignment="1">
      <alignment vertical="center" wrapText="1"/>
    </xf>
    <xf numFmtId="0" fontId="10" fillId="3" borderId="29" xfId="0" applyFont="1" applyFill="1" applyBorder="1" applyAlignment="1">
      <alignment horizontal="left" vertical="center" wrapText="1" indent="2"/>
    </xf>
    <xf numFmtId="0" fontId="9" fillId="3" borderId="29" xfId="0" applyFont="1" applyFill="1" applyBorder="1" applyAlignment="1">
      <alignment vertical="center" wrapText="1"/>
    </xf>
    <xf numFmtId="0" fontId="10" fillId="0" borderId="11" xfId="0" applyFont="1" applyBorder="1" applyAlignment="1">
      <alignment horizontal="left" vertical="center" wrapText="1" indent="2"/>
    </xf>
    <xf numFmtId="0" fontId="9" fillId="3" borderId="30" xfId="0" applyFont="1" applyFill="1" applyBorder="1" applyAlignment="1">
      <alignment vertical="center" wrapText="1"/>
    </xf>
    <xf numFmtId="0" fontId="9" fillId="0" borderId="2" xfId="0" applyFont="1" applyBorder="1" applyAlignment="1">
      <alignment vertical="center" wrapText="1"/>
    </xf>
    <xf numFmtId="0" fontId="10" fillId="0" borderId="38" xfId="0" applyFont="1" applyBorder="1"/>
    <xf numFmtId="0" fontId="9" fillId="0" borderId="2" xfId="0" applyFont="1" applyBorder="1" applyAlignment="1">
      <alignment horizontal="left" vertical="center" wrapText="1" indent="2"/>
    </xf>
    <xf numFmtId="0" fontId="10" fillId="0" borderId="0" xfId="0" applyFont="1"/>
    <xf numFmtId="0" fontId="10" fillId="0" borderId="13" xfId="0" applyFont="1" applyBorder="1"/>
    <xf numFmtId="0" fontId="10" fillId="0" borderId="2" xfId="0" applyFont="1" applyBorder="1" applyAlignment="1">
      <alignment horizontal="left" vertical="center" wrapText="1" indent="2"/>
    </xf>
    <xf numFmtId="0" fontId="13" fillId="9" borderId="4" xfId="0" applyFont="1" applyFill="1" applyBorder="1" applyAlignment="1">
      <alignment horizontal="left" vertical="center"/>
    </xf>
    <xf numFmtId="0" fontId="13" fillId="9" borderId="5" xfId="0" applyFont="1" applyFill="1" applyBorder="1" applyAlignment="1">
      <alignment vertical="center" wrapText="1"/>
    </xf>
    <xf numFmtId="0" fontId="9" fillId="0" borderId="10" xfId="0" applyFont="1" applyBorder="1" applyAlignment="1">
      <alignment horizontal="left" vertical="center" wrapText="1" indent="2"/>
    </xf>
    <xf numFmtId="0" fontId="9" fillId="0" borderId="20" xfId="0" applyFont="1" applyBorder="1" applyAlignment="1">
      <alignment horizontal="left" vertical="center" wrapText="1" indent="2"/>
    </xf>
    <xf numFmtId="0" fontId="9" fillId="0" borderId="16" xfId="0" applyFont="1" applyBorder="1" applyAlignment="1">
      <alignment horizontal="left" vertical="center" wrapText="1" indent="2"/>
    </xf>
    <xf numFmtId="0" fontId="8" fillId="6" borderId="9" xfId="0" applyFont="1" applyFill="1" applyBorder="1" applyAlignment="1">
      <alignment vertical="center" wrapText="1"/>
    </xf>
    <xf numFmtId="0" fontId="9" fillId="3" borderId="10" xfId="0" applyFont="1" applyFill="1" applyBorder="1" applyAlignment="1">
      <alignment horizontal="left" vertical="center" wrapText="1" indent="2"/>
    </xf>
    <xf numFmtId="0" fontId="10" fillId="0" borderId="27" xfId="0" applyFont="1" applyBorder="1" applyAlignment="1">
      <alignment horizontal="left" indent="2"/>
    </xf>
    <xf numFmtId="0" fontId="10" fillId="0" borderId="24" xfId="0" applyFont="1" applyBorder="1"/>
    <xf numFmtId="0" fontId="9" fillId="0" borderId="9" xfId="0" applyFont="1" applyBorder="1" applyAlignment="1">
      <alignment horizontal="left" vertical="center" wrapText="1" indent="6"/>
    </xf>
    <xf numFmtId="0" fontId="9" fillId="0" borderId="5" xfId="0" applyFont="1" applyBorder="1" applyAlignment="1">
      <alignment vertical="center" wrapText="1"/>
    </xf>
    <xf numFmtId="0" fontId="8" fillId="10" borderId="22" xfId="0" applyFont="1" applyFill="1" applyBorder="1" applyAlignment="1">
      <alignment horizontal="left" vertical="center" wrapText="1" indent="3"/>
    </xf>
    <xf numFmtId="0" fontId="8" fillId="10" borderId="2" xfId="0" applyFont="1" applyFill="1" applyBorder="1" applyAlignment="1">
      <alignment vertical="center" wrapText="1"/>
    </xf>
    <xf numFmtId="0" fontId="9" fillId="0" borderId="16" xfId="0" applyFont="1" applyBorder="1" applyAlignment="1">
      <alignment horizontal="left" vertical="center" wrapText="1" indent="6"/>
    </xf>
    <xf numFmtId="0" fontId="9" fillId="0" borderId="2" xfId="0" applyFont="1" applyBorder="1" applyAlignment="1">
      <alignment horizontal="left" vertical="center" wrapText="1" indent="6"/>
    </xf>
    <xf numFmtId="0" fontId="9" fillId="3" borderId="12" xfId="0" applyFont="1" applyFill="1" applyBorder="1" applyAlignment="1">
      <alignment horizontal="left" vertical="center" wrapText="1" indent="6"/>
    </xf>
    <xf numFmtId="0" fontId="8" fillId="10" borderId="5" xfId="0" applyFont="1" applyFill="1" applyBorder="1" applyAlignment="1">
      <alignment horizontal="left" vertical="center" wrapText="1" indent="3"/>
    </xf>
    <xf numFmtId="0" fontId="8" fillId="10" borderId="9" xfId="0" applyFont="1" applyFill="1" applyBorder="1" applyAlignment="1">
      <alignment horizontal="left" vertical="center" wrapText="1" indent="3"/>
    </xf>
    <xf numFmtId="0" fontId="9" fillId="0" borderId="12" xfId="0" applyFont="1" applyBorder="1" applyAlignment="1">
      <alignment horizontal="left" vertical="center" wrapText="1" indent="6"/>
    </xf>
    <xf numFmtId="0" fontId="9" fillId="0" borderId="11" xfId="0" applyFont="1" applyBorder="1" applyAlignment="1">
      <alignment horizontal="left" vertical="center" wrapText="1" indent="6"/>
    </xf>
    <xf numFmtId="0" fontId="10" fillId="0" borderId="8" xfId="0" applyFont="1" applyBorder="1"/>
    <xf numFmtId="0" fontId="4" fillId="2" borderId="9" xfId="0" applyFont="1" applyFill="1" applyBorder="1" applyAlignment="1">
      <alignment vertical="center" wrapText="1"/>
    </xf>
    <xf numFmtId="0" fontId="4" fillId="2" borderId="5" xfId="0" applyFont="1" applyFill="1" applyBorder="1" applyAlignment="1">
      <alignment vertical="center" wrapText="1"/>
    </xf>
    <xf numFmtId="0" fontId="8" fillId="9" borderId="9" xfId="0" applyFont="1" applyFill="1" applyBorder="1" applyAlignment="1">
      <alignment vertical="center" wrapText="1"/>
    </xf>
    <xf numFmtId="0" fontId="9" fillId="3" borderId="7" xfId="0" applyFont="1" applyFill="1" applyBorder="1" applyAlignment="1">
      <alignment vertical="center" wrapText="1"/>
    </xf>
    <xf numFmtId="0" fontId="9" fillId="3" borderId="23" xfId="0" applyFont="1" applyFill="1" applyBorder="1" applyAlignment="1">
      <alignment vertical="center" wrapText="1"/>
    </xf>
    <xf numFmtId="0" fontId="9" fillId="3" borderId="23" xfId="0" applyFont="1" applyFill="1" applyBorder="1" applyAlignment="1">
      <alignment horizontal="left" vertical="center" wrapText="1" indent="2"/>
    </xf>
    <xf numFmtId="0" fontId="9" fillId="3" borderId="30" xfId="0" applyFont="1" applyFill="1" applyBorder="1" applyAlignment="1">
      <alignment horizontal="left" vertical="center" wrapText="1" indent="2"/>
    </xf>
    <xf numFmtId="0" fontId="9" fillId="3" borderId="16" xfId="0" applyFont="1" applyFill="1" applyBorder="1" applyAlignment="1">
      <alignment horizontal="left" vertical="center" wrapText="1" indent="2"/>
    </xf>
    <xf numFmtId="0" fontId="8" fillId="6" borderId="36" xfId="0" applyFont="1" applyFill="1" applyBorder="1" applyAlignment="1">
      <alignment vertical="center" wrapText="1"/>
    </xf>
    <xf numFmtId="0" fontId="8" fillId="6" borderId="14" xfId="0" applyFont="1" applyFill="1" applyBorder="1" applyAlignment="1">
      <alignment vertical="center" wrapText="1"/>
    </xf>
    <xf numFmtId="0" fontId="9" fillId="3" borderId="9" xfId="0" applyFont="1" applyFill="1" applyBorder="1" applyAlignment="1">
      <alignment horizontal="left" vertical="center" wrapText="1" indent="2"/>
    </xf>
    <xf numFmtId="0" fontId="9" fillId="3" borderId="5" xfId="0" applyFont="1" applyFill="1" applyBorder="1" applyAlignment="1">
      <alignment vertical="center" wrapText="1"/>
    </xf>
    <xf numFmtId="0" fontId="8" fillId="10" borderId="9" xfId="0" applyFont="1" applyFill="1" applyBorder="1" applyAlignment="1">
      <alignment vertical="center" wrapText="1"/>
    </xf>
    <xf numFmtId="0" fontId="8" fillId="10" borderId="22" xfId="0" applyFont="1" applyFill="1" applyBorder="1" applyAlignment="1">
      <alignment vertical="center" wrapText="1"/>
    </xf>
    <xf numFmtId="0" fontId="10" fillId="0" borderId="18" xfId="0" applyFont="1" applyBorder="1" applyAlignment="1">
      <alignment horizontal="left" vertical="center" indent="2"/>
    </xf>
    <xf numFmtId="0" fontId="10" fillId="0" borderId="18" xfId="0" applyFont="1" applyBorder="1"/>
    <xf numFmtId="0" fontId="10" fillId="0" borderId="18" xfId="0" applyFont="1" applyBorder="1" applyAlignment="1">
      <alignment horizontal="left" indent="2"/>
    </xf>
    <xf numFmtId="0" fontId="9" fillId="3" borderId="20" xfId="0" applyFont="1" applyFill="1" applyBorder="1" applyAlignment="1">
      <alignment horizontal="left" vertical="center" wrapText="1" indent="2"/>
    </xf>
    <xf numFmtId="0" fontId="9" fillId="3" borderId="7" xfId="0" applyFont="1" applyFill="1" applyBorder="1" applyAlignment="1">
      <alignment horizontal="left" vertical="center" wrapText="1" indent="2"/>
    </xf>
    <xf numFmtId="0" fontId="8" fillId="6" borderId="27" xfId="0" applyFont="1" applyFill="1" applyBorder="1" applyAlignment="1">
      <alignment vertical="center" wrapText="1"/>
    </xf>
    <xf numFmtId="0" fontId="8" fillId="6" borderId="24" xfId="0" applyFont="1" applyFill="1" applyBorder="1" applyAlignment="1">
      <alignment vertical="center" wrapText="1"/>
    </xf>
    <xf numFmtId="0" fontId="9" fillId="3" borderId="20" xfId="0" applyFont="1" applyFill="1" applyBorder="1" applyAlignment="1">
      <alignment horizontal="left" vertical="center" wrapText="1" indent="1"/>
    </xf>
    <xf numFmtId="0" fontId="10" fillId="0" borderId="30" xfId="0" applyFont="1" applyBorder="1" applyAlignment="1">
      <alignment horizontal="left" indent="2"/>
    </xf>
    <xf numFmtId="0" fontId="9" fillId="3" borderId="16" xfId="0" applyFont="1" applyFill="1" applyBorder="1" applyAlignment="1">
      <alignment horizontal="left" vertical="center" wrapText="1" indent="1"/>
    </xf>
    <xf numFmtId="0" fontId="8" fillId="6" borderId="22" xfId="0" applyFont="1" applyFill="1" applyBorder="1" applyAlignment="1">
      <alignment vertical="center" wrapText="1"/>
    </xf>
    <xf numFmtId="0" fontId="8" fillId="3" borderId="11" xfId="0" applyFont="1" applyFill="1" applyBorder="1" applyAlignment="1">
      <alignment horizontal="left" vertical="center" wrapText="1" indent="1"/>
    </xf>
    <xf numFmtId="0" fontId="8" fillId="3" borderId="12" xfId="0" applyFont="1" applyFill="1" applyBorder="1" applyAlignment="1">
      <alignment horizontal="left" vertical="center" wrapText="1" indent="1"/>
    </xf>
    <xf numFmtId="0" fontId="9" fillId="3" borderId="36" xfId="0" applyFont="1" applyFill="1" applyBorder="1" applyAlignment="1">
      <alignment horizontal="left" vertical="center" wrapText="1" indent="2"/>
    </xf>
    <xf numFmtId="0" fontId="9" fillId="3" borderId="14" xfId="0" applyFont="1" applyFill="1" applyBorder="1" applyAlignment="1">
      <alignment vertical="center" wrapText="1"/>
    </xf>
    <xf numFmtId="0" fontId="8" fillId="6" borderId="9" xfId="0" applyFont="1" applyFill="1" applyBorder="1" applyAlignment="1">
      <alignment horizontal="left" vertical="center" wrapText="1"/>
    </xf>
    <xf numFmtId="0" fontId="9" fillId="3" borderId="27" xfId="0" applyFont="1" applyFill="1" applyBorder="1" applyAlignment="1">
      <alignment horizontal="left" vertical="center" wrapText="1" indent="2"/>
    </xf>
    <xf numFmtId="0" fontId="9" fillId="3" borderId="22" xfId="0" applyFont="1" applyFill="1" applyBorder="1" applyAlignment="1">
      <alignment horizontal="left" vertical="center" wrapText="1" indent="2"/>
    </xf>
    <xf numFmtId="0" fontId="9" fillId="0" borderId="5" xfId="0" applyFont="1" applyBorder="1" applyAlignment="1">
      <alignment horizontal="left" vertical="center" wrapText="1" indent="2"/>
    </xf>
    <xf numFmtId="0" fontId="8" fillId="6" borderId="16" xfId="0" applyFont="1" applyFill="1" applyBorder="1" applyAlignment="1">
      <alignment horizontal="left" vertical="center" wrapText="1"/>
    </xf>
    <xf numFmtId="0" fontId="8" fillId="6" borderId="11" xfId="0" applyFont="1" applyFill="1" applyBorder="1" applyAlignment="1">
      <alignment vertical="center" wrapText="1"/>
    </xf>
    <xf numFmtId="0" fontId="8" fillId="9" borderId="2" xfId="0" applyFont="1" applyFill="1" applyBorder="1" applyAlignment="1">
      <alignment vertical="center" wrapText="1"/>
    </xf>
    <xf numFmtId="0" fontId="4" fillId="6" borderId="9" xfId="0" applyFont="1" applyFill="1" applyBorder="1"/>
    <xf numFmtId="0" fontId="10" fillId="0" borderId="23" xfId="0" applyFont="1" applyBorder="1"/>
    <xf numFmtId="0" fontId="9" fillId="3" borderId="5" xfId="0" applyFont="1" applyFill="1" applyBorder="1" applyAlignment="1">
      <alignment horizontal="left" vertical="center" wrapText="1" indent="2"/>
    </xf>
    <xf numFmtId="0" fontId="10" fillId="0" borderId="9" xfId="0" applyFont="1" applyBorder="1" applyAlignment="1">
      <alignment horizontal="left" indent="2"/>
    </xf>
    <xf numFmtId="0" fontId="10" fillId="0" borderId="5" xfId="0" applyFont="1" applyBorder="1"/>
    <xf numFmtId="0" fontId="4" fillId="9" borderId="9" xfId="0" applyFont="1" applyFill="1" applyBorder="1"/>
    <xf numFmtId="0" fontId="10" fillId="0" borderId="25" xfId="0" applyFont="1" applyBorder="1"/>
    <xf numFmtId="0" fontId="9" fillId="0" borderId="24" xfId="0" applyFont="1" applyBorder="1" applyAlignment="1">
      <alignment horizontal="left" vertical="center" wrapText="1" indent="2"/>
    </xf>
    <xf numFmtId="0" fontId="10" fillId="0" borderId="0" xfId="0" applyFont="1" applyAlignment="1">
      <alignment horizontal="center"/>
    </xf>
    <xf numFmtId="0" fontId="10" fillId="0" borderId="35" xfId="0" applyFont="1" applyBorder="1"/>
    <xf numFmtId="0" fontId="10" fillId="0" borderId="5" xfId="0" applyFont="1" applyBorder="1" applyAlignment="1">
      <alignment horizontal="left" vertical="center" wrapText="1" indent="2"/>
    </xf>
    <xf numFmtId="0" fontId="10" fillId="0" borderId="5" xfId="0" applyFont="1" applyBorder="1" applyAlignment="1">
      <alignment vertical="center" wrapText="1"/>
    </xf>
    <xf numFmtId="0" fontId="8" fillId="0" borderId="0" xfId="0" applyFont="1" applyAlignment="1">
      <alignment horizontal="left" vertical="center" wrapText="1"/>
    </xf>
    <xf numFmtId="0" fontId="4" fillId="6" borderId="5" xfId="0" applyFont="1" applyFill="1" applyBorder="1" applyAlignment="1">
      <alignment horizontal="left" vertical="center" wrapText="1"/>
    </xf>
    <xf numFmtId="0" fontId="11" fillId="3" borderId="5" xfId="0" applyFont="1" applyFill="1" applyBorder="1" applyAlignment="1">
      <alignment horizontal="left" vertical="center" wrapText="1" indent="2"/>
    </xf>
    <xf numFmtId="0" fontId="19" fillId="6" borderId="5" xfId="0" applyFont="1" applyFill="1" applyBorder="1" applyAlignment="1">
      <alignment vertical="center" wrapText="1"/>
    </xf>
    <xf numFmtId="0" fontId="9" fillId="0" borderId="14" xfId="0" applyFont="1" applyBorder="1" applyAlignment="1">
      <alignment horizontal="left" vertical="center" wrapText="1" indent="2"/>
    </xf>
    <xf numFmtId="0" fontId="8" fillId="9" borderId="4" xfId="0" applyFont="1" applyFill="1" applyBorder="1" applyAlignment="1">
      <alignment vertical="center" wrapText="1"/>
    </xf>
    <xf numFmtId="0" fontId="10" fillId="0" borderId="27" xfId="0" applyFont="1" applyBorder="1" applyAlignment="1">
      <alignment horizontal="center"/>
    </xf>
    <xf numFmtId="0" fontId="10" fillId="0" borderId="14" xfId="0" applyFont="1" applyBorder="1"/>
    <xf numFmtId="0" fontId="12" fillId="10" borderId="5" xfId="0" applyFont="1" applyFill="1" applyBorder="1" applyAlignment="1">
      <alignment horizontal="left" vertical="center" wrapText="1" indent="3"/>
    </xf>
    <xf numFmtId="0" fontId="9" fillId="4" borderId="22" xfId="0" applyFont="1" applyFill="1" applyBorder="1" applyAlignment="1">
      <alignment horizontal="left" vertical="center" wrapText="1" indent="2"/>
    </xf>
    <xf numFmtId="0" fontId="9" fillId="4" borderId="2" xfId="0" applyFont="1" applyFill="1" applyBorder="1" applyAlignment="1">
      <alignment vertical="center" wrapText="1"/>
    </xf>
    <xf numFmtId="0" fontId="10" fillId="0" borderId="2" xfId="0" applyFont="1" applyBorder="1"/>
    <xf numFmtId="0" fontId="11" fillId="0" borderId="5" xfId="0" applyFont="1" applyBorder="1" applyAlignment="1">
      <alignment horizontal="left" vertical="center" wrapText="1" indent="2"/>
    </xf>
    <xf numFmtId="0" fontId="10" fillId="0" borderId="33" xfId="0" applyFont="1" applyBorder="1"/>
    <xf numFmtId="0" fontId="9" fillId="4" borderId="11" xfId="0" applyFont="1" applyFill="1" applyBorder="1" applyAlignment="1">
      <alignment vertical="center" wrapText="1"/>
    </xf>
    <xf numFmtId="0" fontId="8" fillId="2" borderId="5" xfId="0" applyFont="1" applyFill="1" applyBorder="1" applyAlignment="1">
      <alignment horizontal="left" vertical="center" wrapText="1"/>
    </xf>
    <xf numFmtId="0" fontId="10" fillId="0" borderId="2" xfId="0" applyFont="1" applyBorder="1" applyAlignment="1">
      <alignment horizontal="left" indent="2"/>
    </xf>
    <xf numFmtId="0" fontId="10" fillId="0" borderId="14" xfId="0" applyFont="1" applyBorder="1" applyAlignment="1">
      <alignment horizontal="left" indent="2"/>
    </xf>
    <xf numFmtId="0" fontId="9" fillId="3" borderId="2" xfId="0" applyFont="1" applyFill="1" applyBorder="1" applyAlignment="1">
      <alignment horizontal="left" vertical="center" wrapText="1" indent="6"/>
    </xf>
    <xf numFmtId="0" fontId="9" fillId="3" borderId="11" xfId="0" applyFont="1" applyFill="1" applyBorder="1" applyAlignment="1">
      <alignment horizontal="left" vertical="center" wrapText="1" indent="3"/>
    </xf>
    <xf numFmtId="0" fontId="9" fillId="3" borderId="12" xfId="0" applyFont="1" applyFill="1" applyBorder="1" applyAlignment="1">
      <alignment horizontal="left" vertical="center" wrapText="1" indent="3"/>
    </xf>
    <xf numFmtId="0" fontId="8" fillId="6" borderId="22" xfId="0" applyFont="1" applyFill="1" applyBorder="1" applyAlignment="1">
      <alignment horizontal="left" vertical="center" wrapText="1"/>
    </xf>
    <xf numFmtId="0" fontId="8" fillId="6" borderId="24" xfId="0" applyFont="1" applyFill="1" applyBorder="1" applyAlignment="1">
      <alignment horizontal="left" vertical="center" wrapText="1"/>
    </xf>
    <xf numFmtId="14" fontId="6" fillId="0" borderId="0" xfId="0" applyNumberFormat="1" applyFont="1" applyAlignment="1">
      <alignment vertical="center"/>
    </xf>
    <xf numFmtId="0" fontId="3" fillId="9" borderId="0" xfId="0" applyFont="1" applyFill="1"/>
    <xf numFmtId="0" fontId="8" fillId="9" borderId="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24" fillId="9" borderId="0" xfId="0" applyFont="1" applyFill="1" applyAlignment="1">
      <alignment horizontal="center"/>
    </xf>
    <xf numFmtId="0" fontId="4" fillId="9" borderId="5" xfId="0" applyFont="1" applyFill="1" applyBorder="1" applyAlignment="1">
      <alignment horizontal="center"/>
    </xf>
    <xf numFmtId="0" fontId="8" fillId="2" borderId="4" xfId="0" applyFont="1" applyFill="1" applyBorder="1" applyAlignment="1">
      <alignment horizontal="center" vertical="center" wrapText="1"/>
    </xf>
    <xf numFmtId="43" fontId="4" fillId="2" borderId="5" xfId="1" applyFont="1" applyFill="1" applyBorder="1" applyAlignment="1" applyProtection="1">
      <alignment vertical="center" wrapText="1"/>
    </xf>
    <xf numFmtId="0" fontId="8" fillId="10" borderId="0" xfId="0" applyFont="1" applyFill="1" applyAlignment="1">
      <alignment vertical="center" wrapText="1"/>
    </xf>
    <xf numFmtId="166" fontId="10" fillId="0" borderId="24" xfId="3" applyNumberFormat="1" applyFont="1" applyBorder="1" applyAlignment="1" applyProtection="1">
      <alignment horizontal="center" vertical="center"/>
      <protection locked="0"/>
    </xf>
    <xf numFmtId="166" fontId="10" fillId="0" borderId="75" xfId="3" applyNumberFormat="1" applyFont="1" applyBorder="1" applyAlignment="1" applyProtection="1">
      <alignment horizontal="center" vertical="center"/>
      <protection locked="0"/>
    </xf>
    <xf numFmtId="166" fontId="10" fillId="0" borderId="3" xfId="3" applyNumberFormat="1" applyFont="1" applyBorder="1" applyAlignment="1" applyProtection="1">
      <alignment horizontal="center" vertical="center"/>
      <protection locked="0"/>
    </xf>
    <xf numFmtId="166" fontId="10" fillId="0" borderId="32" xfId="3" applyNumberFormat="1" applyFont="1" applyBorder="1" applyAlignment="1" applyProtection="1">
      <alignment horizontal="center" vertical="center"/>
      <protection locked="0"/>
    </xf>
    <xf numFmtId="166" fontId="10" fillId="0" borderId="14" xfId="3" applyNumberFormat="1" applyFont="1" applyBorder="1" applyAlignment="1" applyProtection="1">
      <alignment horizontal="center" vertical="center"/>
      <protection locked="0"/>
    </xf>
    <xf numFmtId="166" fontId="10" fillId="0" borderId="76" xfId="3" applyNumberFormat="1" applyFont="1" applyBorder="1" applyAlignment="1" applyProtection="1">
      <alignment horizontal="center" vertical="center"/>
      <protection locked="0"/>
    </xf>
    <xf numFmtId="166" fontId="10" fillId="0" borderId="78" xfId="3" applyNumberFormat="1" applyFont="1" applyBorder="1" applyAlignment="1" applyProtection="1">
      <alignment horizontal="center" vertical="center"/>
      <protection locked="0"/>
    </xf>
    <xf numFmtId="166" fontId="10" fillId="0" borderId="29" xfId="3" applyNumberFormat="1" applyFont="1" applyBorder="1" applyAlignment="1" applyProtection="1">
      <alignment horizontal="center" vertical="center"/>
      <protection locked="0"/>
    </xf>
    <xf numFmtId="49" fontId="10" fillId="0" borderId="32" xfId="3" applyNumberFormat="1" applyFont="1" applyBorder="1" applyProtection="1">
      <protection locked="0"/>
    </xf>
    <xf numFmtId="0" fontId="27" fillId="0" borderId="21" xfId="3" applyFont="1" applyBorder="1" applyProtection="1">
      <protection locked="0"/>
    </xf>
    <xf numFmtId="166" fontId="9" fillId="7" borderId="2" xfId="3" applyNumberFormat="1" applyFont="1" applyFill="1" applyBorder="1" applyProtection="1">
      <protection locked="0"/>
    </xf>
    <xf numFmtId="167" fontId="9" fillId="7" borderId="12" xfId="3" applyNumberFormat="1" applyFont="1" applyFill="1" applyBorder="1" applyProtection="1">
      <protection locked="0"/>
    </xf>
    <xf numFmtId="169" fontId="10" fillId="0" borderId="2" xfId="1" applyNumberFormat="1" applyFont="1" applyBorder="1" applyAlignment="1" applyProtection="1">
      <alignment horizontal="center" vertical="center"/>
      <protection locked="0"/>
    </xf>
    <xf numFmtId="169" fontId="10" fillId="0" borderId="24" xfId="1" applyNumberFormat="1" applyFont="1" applyBorder="1" applyAlignment="1" applyProtection="1">
      <alignment horizontal="center" vertical="center"/>
      <protection locked="0"/>
    </xf>
    <xf numFmtId="169" fontId="10" fillId="0" borderId="75" xfId="1" applyNumberFormat="1" applyFont="1" applyBorder="1" applyAlignment="1" applyProtection="1">
      <alignment horizontal="center" vertical="center"/>
      <protection locked="0"/>
    </xf>
    <xf numFmtId="43" fontId="10" fillId="0" borderId="32" xfId="1" applyFont="1" applyBorder="1" applyAlignment="1" applyProtection="1">
      <alignment horizontal="center" vertical="center"/>
      <protection locked="0"/>
    </xf>
    <xf numFmtId="0" fontId="15" fillId="0" borderId="0" xfId="0" applyFont="1"/>
    <xf numFmtId="43" fontId="15" fillId="0" borderId="0" xfId="5" applyNumberFormat="1" applyFont="1" applyAlignment="1">
      <alignment vertical="center"/>
    </xf>
    <xf numFmtId="166" fontId="10" fillId="0" borderId="88" xfId="3" applyNumberFormat="1" applyFont="1" applyBorder="1" applyAlignment="1" applyProtection="1">
      <alignment horizontal="center" vertical="center"/>
      <protection locked="0"/>
    </xf>
    <xf numFmtId="166" fontId="4" fillId="7" borderId="5" xfId="3" applyNumberFormat="1" applyFont="1" applyFill="1" applyBorder="1" applyAlignment="1" applyProtection="1">
      <alignment horizontal="center" vertical="center"/>
      <protection locked="0"/>
    </xf>
    <xf numFmtId="0" fontId="9" fillId="0" borderId="63" xfId="3" applyFont="1" applyBorder="1" applyAlignment="1" applyProtection="1">
      <alignment horizontal="left"/>
      <protection locked="0"/>
    </xf>
    <xf numFmtId="0" fontId="26" fillId="0" borderId="0" xfId="3"/>
    <xf numFmtId="0" fontId="2" fillId="0" borderId="0" xfId="3" applyFont="1" applyAlignment="1">
      <alignment horizontal="right" vertical="center"/>
    </xf>
    <xf numFmtId="14" fontId="10" fillId="0" borderId="0" xfId="3" applyNumberFormat="1" applyFont="1"/>
    <xf numFmtId="0" fontId="4" fillId="8" borderId="70" xfId="3" applyFont="1" applyFill="1" applyBorder="1" applyAlignment="1">
      <alignment horizontal="center" vertical="center"/>
    </xf>
    <xf numFmtId="0" fontId="4" fillId="8" borderId="73" xfId="3" applyFont="1" applyFill="1" applyBorder="1" applyAlignment="1">
      <alignment vertical="center"/>
    </xf>
    <xf numFmtId="169" fontId="4" fillId="8" borderId="74" xfId="1" applyNumberFormat="1" applyFont="1" applyFill="1" applyBorder="1" applyAlignment="1" applyProtection="1">
      <alignment horizontal="center" vertical="center"/>
    </xf>
    <xf numFmtId="0" fontId="10" fillId="0" borderId="0" xfId="3" applyFont="1" applyAlignment="1">
      <alignment vertical="center"/>
    </xf>
    <xf numFmtId="0" fontId="14" fillId="0" borderId="0" xfId="3" applyFont="1" applyAlignment="1">
      <alignment vertical="center"/>
    </xf>
    <xf numFmtId="0" fontId="4" fillId="8" borderId="9" xfId="3" applyFont="1" applyFill="1" applyBorder="1" applyAlignment="1">
      <alignment vertical="center"/>
    </xf>
    <xf numFmtId="0" fontId="10" fillId="0" borderId="50" xfId="3" applyFont="1" applyBorder="1" applyAlignment="1">
      <alignment vertical="center"/>
    </xf>
    <xf numFmtId="0" fontId="4" fillId="8" borderId="26" xfId="3" applyFont="1" applyFill="1" applyBorder="1" applyAlignment="1">
      <alignment vertical="center"/>
    </xf>
    <xf numFmtId="169" fontId="13" fillId="8" borderId="74" xfId="1" applyNumberFormat="1" applyFont="1" applyFill="1" applyBorder="1" applyAlignment="1" applyProtection="1">
      <alignment horizontal="center" vertical="center"/>
    </xf>
    <xf numFmtId="0" fontId="4" fillId="6" borderId="27" xfId="3" applyFont="1" applyFill="1" applyBorder="1" applyAlignment="1">
      <alignment horizontal="center" vertical="center"/>
    </xf>
    <xf numFmtId="0" fontId="4" fillId="8" borderId="5" xfId="3" applyFont="1" applyFill="1" applyBorder="1" applyAlignment="1">
      <alignment vertical="center"/>
    </xf>
    <xf numFmtId="0" fontId="10" fillId="0" borderId="2" xfId="3" applyFont="1" applyBorder="1" applyAlignment="1">
      <alignment vertical="center"/>
    </xf>
    <xf numFmtId="0" fontId="10" fillId="0" borderId="24" xfId="3" applyFont="1" applyBorder="1" applyAlignment="1">
      <alignment vertical="center"/>
    </xf>
    <xf numFmtId="0" fontId="14" fillId="0" borderId="14" xfId="3" applyFont="1" applyBorder="1" applyAlignment="1">
      <alignment vertical="center"/>
    </xf>
    <xf numFmtId="0" fontId="4" fillId="6" borderId="14" xfId="3" applyFont="1" applyFill="1" applyBorder="1" applyAlignment="1">
      <alignment vertical="center"/>
    </xf>
    <xf numFmtId="4" fontId="9" fillId="7" borderId="30" xfId="3" applyNumberFormat="1" applyFont="1" applyFill="1" applyBorder="1" applyAlignment="1">
      <alignment horizontal="left"/>
    </xf>
    <xf numFmtId="4" fontId="9" fillId="7" borderId="12" xfId="3" applyNumberFormat="1" applyFont="1" applyFill="1" applyBorder="1" applyAlignment="1">
      <alignment horizontal="left"/>
    </xf>
    <xf numFmtId="166" fontId="10" fillId="8" borderId="6" xfId="3" applyNumberFormat="1" applyFont="1" applyFill="1" applyBorder="1" applyAlignment="1">
      <alignment horizontal="center" vertical="center"/>
    </xf>
    <xf numFmtId="4" fontId="9" fillId="7" borderId="24" xfId="3" applyNumberFormat="1" applyFont="1" applyFill="1" applyBorder="1" applyAlignment="1">
      <alignment horizontal="left"/>
    </xf>
    <xf numFmtId="0" fontId="10" fillId="0" borderId="5" xfId="3" applyFont="1" applyBorder="1" applyAlignment="1">
      <alignment horizontal="center" vertical="center"/>
    </xf>
    <xf numFmtId="0" fontId="13" fillId="8" borderId="5" xfId="3" applyFont="1" applyFill="1" applyBorder="1" applyAlignment="1">
      <alignment horizontal="left"/>
    </xf>
    <xf numFmtId="0" fontId="14" fillId="0" borderId="2" xfId="3" applyFont="1" applyBorder="1" applyAlignment="1">
      <alignment vertical="center"/>
    </xf>
    <xf numFmtId="0" fontId="14" fillId="0" borderId="24" xfId="3" applyFont="1" applyBorder="1" applyAlignment="1">
      <alignment vertical="center"/>
    </xf>
    <xf numFmtId="0" fontId="4" fillId="6" borderId="5" xfId="3" applyFont="1" applyFill="1" applyBorder="1" applyAlignment="1">
      <alignment vertical="center"/>
    </xf>
    <xf numFmtId="0" fontId="4" fillId="5" borderId="5" xfId="3" applyFont="1" applyFill="1" applyBorder="1" applyAlignment="1">
      <alignment vertical="center"/>
    </xf>
    <xf numFmtId="166" fontId="10" fillId="5" borderId="5" xfId="3" applyNumberFormat="1" applyFont="1" applyFill="1" applyBorder="1" applyAlignment="1">
      <alignment horizontal="center" vertical="center"/>
    </xf>
    <xf numFmtId="4" fontId="9" fillId="13" borderId="77" xfId="3" applyNumberFormat="1" applyFont="1" applyFill="1" applyBorder="1" applyAlignment="1">
      <alignment horizontal="left"/>
    </xf>
    <xf numFmtId="166" fontId="10" fillId="10" borderId="24" xfId="3" applyNumberFormat="1" applyFont="1" applyFill="1" applyBorder="1" applyAlignment="1">
      <alignment horizontal="center" vertical="center"/>
    </xf>
    <xf numFmtId="0" fontId="10" fillId="0" borderId="18" xfId="3" applyFont="1" applyBorder="1" applyAlignment="1">
      <alignment vertical="center"/>
    </xf>
    <xf numFmtId="4" fontId="9" fillId="7" borderId="29" xfId="3" applyNumberFormat="1" applyFont="1" applyFill="1" applyBorder="1" applyAlignment="1">
      <alignment horizontal="left"/>
    </xf>
    <xf numFmtId="4" fontId="9" fillId="13" borderId="79" xfId="3" applyNumberFormat="1" applyFont="1" applyFill="1" applyBorder="1" applyAlignment="1">
      <alignment horizontal="left"/>
    </xf>
    <xf numFmtId="166" fontId="10" fillId="10" borderId="79" xfId="3" applyNumberFormat="1" applyFont="1" applyFill="1" applyBorder="1" applyAlignment="1">
      <alignment horizontal="center" vertical="center"/>
    </xf>
    <xf numFmtId="0" fontId="0" fillId="0" borderId="87" xfId="0" applyBorder="1"/>
    <xf numFmtId="0" fontId="4" fillId="5" borderId="9" xfId="3" applyFont="1" applyFill="1" applyBorder="1" applyAlignment="1">
      <alignment vertical="center"/>
    </xf>
    <xf numFmtId="0" fontId="10" fillId="0" borderId="80" xfId="3" applyFont="1" applyBorder="1" applyAlignment="1">
      <alignment horizontal="center" vertical="center"/>
    </xf>
    <xf numFmtId="0" fontId="0" fillId="0" borderId="34" xfId="0" applyBorder="1"/>
    <xf numFmtId="0" fontId="10" fillId="0" borderId="85" xfId="3" applyFont="1" applyBorder="1" applyAlignment="1">
      <alignment vertical="center"/>
    </xf>
    <xf numFmtId="0" fontId="10" fillId="0" borderId="46" xfId="3" applyFont="1" applyBorder="1" applyAlignment="1">
      <alignment vertical="center"/>
    </xf>
    <xf numFmtId="0" fontId="10" fillId="7" borderId="61" xfId="3" applyFont="1" applyFill="1" applyBorder="1" applyAlignment="1">
      <alignment horizontal="center" vertical="center"/>
    </xf>
    <xf numFmtId="0" fontId="4" fillId="7" borderId="43" xfId="3" applyFont="1" applyFill="1" applyBorder="1" applyAlignment="1">
      <alignment vertical="center"/>
    </xf>
    <xf numFmtId="0" fontId="10" fillId="7" borderId="43" xfId="3" applyFont="1" applyFill="1" applyBorder="1" applyAlignment="1">
      <alignment vertical="center"/>
    </xf>
    <xf numFmtId="0" fontId="9" fillId="0" borderId="63" xfId="3" applyFont="1" applyBorder="1" applyAlignment="1">
      <alignment horizontal="left"/>
    </xf>
    <xf numFmtId="0" fontId="9" fillId="0" borderId="30" xfId="3" applyFont="1" applyBorder="1"/>
    <xf numFmtId="0" fontId="9" fillId="0" borderId="14" xfId="3" applyFont="1" applyBorder="1"/>
    <xf numFmtId="0" fontId="24" fillId="6" borderId="5" xfId="3" applyFont="1" applyFill="1" applyBorder="1"/>
    <xf numFmtId="0" fontId="9" fillId="7" borderId="0" xfId="3" applyFont="1" applyFill="1"/>
    <xf numFmtId="0" fontId="9" fillId="7" borderId="25" xfId="3" applyFont="1" applyFill="1" applyBorder="1"/>
    <xf numFmtId="0" fontId="9" fillId="7" borderId="84" xfId="3" applyFont="1" applyFill="1" applyBorder="1"/>
    <xf numFmtId="0" fontId="1" fillId="0" borderId="0" xfId="3" applyFont="1"/>
    <xf numFmtId="0" fontId="28" fillId="0" borderId="0" xfId="3" applyFont="1" applyAlignment="1">
      <alignment horizontal="center" vertical="center"/>
    </xf>
    <xf numFmtId="0" fontId="29" fillId="0" borderId="0" xfId="3" applyFont="1" applyAlignment="1">
      <alignment horizontal="left" vertical="center"/>
    </xf>
    <xf numFmtId="166" fontId="4" fillId="8" borderId="5" xfId="3" applyNumberFormat="1" applyFont="1" applyFill="1" applyBorder="1" applyAlignment="1">
      <alignment horizontal="center" vertical="center"/>
    </xf>
    <xf numFmtId="0" fontId="10" fillId="0" borderId="86" xfId="3" applyFont="1" applyBorder="1" applyAlignment="1">
      <alignment vertical="center"/>
    </xf>
    <xf numFmtId="0" fontId="10" fillId="0" borderId="63" xfId="3" applyFont="1" applyBorder="1" applyAlignment="1">
      <alignment vertical="center"/>
    </xf>
    <xf numFmtId="0" fontId="10" fillId="0" borderId="81" xfId="3" applyFont="1" applyBorder="1" applyAlignment="1">
      <alignment vertical="center"/>
    </xf>
    <xf numFmtId="0" fontId="10" fillId="6" borderId="97" xfId="0" applyFont="1" applyFill="1" applyBorder="1" applyAlignment="1">
      <alignment horizontal="center" vertical="center"/>
    </xf>
    <xf numFmtId="43" fontId="0" fillId="0" borderId="0" xfId="0" applyNumberFormat="1"/>
    <xf numFmtId="43" fontId="10" fillId="6" borderId="165" xfId="1" applyFont="1" applyFill="1" applyBorder="1" applyAlignment="1" applyProtection="1">
      <alignment horizontal="center" vertical="center" wrapText="1"/>
    </xf>
    <xf numFmtId="43" fontId="10" fillId="6" borderId="139" xfId="0" applyNumberFormat="1" applyFont="1" applyFill="1" applyBorder="1" applyAlignment="1">
      <alignment horizontal="center" vertical="center" wrapText="1"/>
    </xf>
    <xf numFmtId="43" fontId="10" fillId="6" borderId="147" xfId="0" applyNumberFormat="1" applyFont="1" applyFill="1" applyBorder="1" applyAlignment="1">
      <alignment horizontal="center" vertical="center" wrapText="1"/>
    </xf>
    <xf numFmtId="0" fontId="10" fillId="6" borderId="165" xfId="0" applyFont="1" applyFill="1" applyBorder="1" applyAlignment="1">
      <alignment horizontal="center" vertical="center" wrapText="1"/>
    </xf>
    <xf numFmtId="0" fontId="10" fillId="6" borderId="139" xfId="0" applyFont="1" applyFill="1" applyBorder="1" applyAlignment="1">
      <alignment horizontal="center" vertical="center" wrapText="1"/>
    </xf>
    <xf numFmtId="1" fontId="14" fillId="11" borderId="5" xfId="1" applyNumberFormat="1" applyFont="1" applyFill="1" applyBorder="1" applyAlignment="1" applyProtection="1">
      <alignment horizontal="center" vertical="center" wrapText="1"/>
    </xf>
    <xf numFmtId="0" fontId="0" fillId="0" borderId="0" xfId="0" applyAlignment="1">
      <alignment wrapText="1"/>
    </xf>
    <xf numFmtId="165" fontId="0" fillId="0" borderId="0" xfId="2" applyNumberFormat="1" applyFont="1" applyAlignment="1">
      <alignment wrapText="1"/>
    </xf>
    <xf numFmtId="43" fontId="14" fillId="11" borderId="104" xfId="1" applyFont="1" applyFill="1" applyBorder="1" applyAlignment="1" applyProtection="1">
      <alignment horizontal="center" vertical="center" wrapText="1"/>
    </xf>
    <xf numFmtId="43" fontId="10" fillId="7" borderId="167" xfId="1" applyFont="1" applyFill="1" applyBorder="1" applyAlignment="1" applyProtection="1">
      <alignment vertical="center" wrapText="1"/>
    </xf>
    <xf numFmtId="43" fontId="10" fillId="7" borderId="138" xfId="1" applyFont="1" applyFill="1" applyBorder="1" applyAlignment="1" applyProtection="1">
      <alignment vertical="center" wrapText="1"/>
    </xf>
    <xf numFmtId="43" fontId="10" fillId="16" borderId="205" xfId="1" applyFont="1" applyFill="1" applyBorder="1" applyAlignment="1" applyProtection="1">
      <alignment vertical="center" wrapText="1"/>
    </xf>
    <xf numFmtId="43" fontId="10" fillId="13" borderId="167" xfId="1" applyFont="1" applyFill="1" applyBorder="1" applyAlignment="1" applyProtection="1">
      <alignment vertical="center" wrapText="1"/>
    </xf>
    <xf numFmtId="43" fontId="10" fillId="13" borderId="138" xfId="1" applyFont="1" applyFill="1" applyBorder="1" applyAlignment="1" applyProtection="1">
      <alignment vertical="center" wrapText="1"/>
    </xf>
    <xf numFmtId="43" fontId="10" fillId="7" borderId="165" xfId="1" applyFont="1" applyFill="1" applyBorder="1" applyAlignment="1" applyProtection="1">
      <alignment vertical="center" wrapText="1"/>
    </xf>
    <xf numFmtId="43" fontId="10" fillId="7" borderId="168" xfId="1" applyFont="1" applyFill="1" applyBorder="1" applyAlignment="1" applyProtection="1">
      <alignment vertical="center" wrapText="1"/>
    </xf>
    <xf numFmtId="43" fontId="10" fillId="7" borderId="136" xfId="1" applyFont="1" applyFill="1" applyBorder="1" applyAlignment="1" applyProtection="1">
      <alignment vertical="center" wrapText="1"/>
    </xf>
    <xf numFmtId="43" fontId="10" fillId="16" borderId="197" xfId="1" applyFont="1" applyFill="1" applyBorder="1" applyAlignment="1" applyProtection="1">
      <alignment vertical="center" wrapText="1"/>
    </xf>
    <xf numFmtId="43" fontId="10" fillId="13" borderId="140" xfId="1" applyFont="1" applyFill="1" applyBorder="1" applyAlignment="1" applyProtection="1">
      <alignment vertical="center" wrapText="1"/>
    </xf>
    <xf numFmtId="43" fontId="10" fillId="13" borderId="136" xfId="1" applyFont="1" applyFill="1" applyBorder="1" applyAlignment="1" applyProtection="1">
      <alignment vertical="center" wrapText="1"/>
    </xf>
    <xf numFmtId="43" fontId="14" fillId="16" borderId="197" xfId="1" applyFont="1" applyFill="1" applyBorder="1" applyAlignment="1" applyProtection="1">
      <alignment vertical="center" wrapText="1"/>
    </xf>
    <xf numFmtId="43" fontId="0" fillId="0" borderId="0" xfId="0" applyNumberFormat="1" applyAlignment="1">
      <alignment wrapText="1"/>
    </xf>
    <xf numFmtId="43" fontId="14" fillId="16" borderId="201" xfId="1" applyFont="1" applyFill="1" applyBorder="1" applyAlignment="1" applyProtection="1">
      <alignment vertical="center" wrapText="1"/>
    </xf>
    <xf numFmtId="43" fontId="10" fillId="16" borderId="201" xfId="1" applyFont="1" applyFill="1" applyBorder="1" applyAlignment="1" applyProtection="1">
      <alignment vertical="center" wrapText="1"/>
    </xf>
    <xf numFmtId="41" fontId="10" fillId="7" borderId="140" xfId="1" applyNumberFormat="1" applyFont="1" applyFill="1" applyBorder="1" applyAlignment="1" applyProtection="1">
      <alignment vertical="center" wrapText="1"/>
    </xf>
    <xf numFmtId="41" fontId="10" fillId="7" borderId="136" xfId="1" applyNumberFormat="1" applyFont="1" applyFill="1" applyBorder="1" applyAlignment="1" applyProtection="1">
      <alignment vertical="center" wrapText="1"/>
    </xf>
    <xf numFmtId="41" fontId="10" fillId="16" borderId="197" xfId="1" applyNumberFormat="1" applyFont="1" applyFill="1" applyBorder="1" applyAlignment="1" applyProtection="1">
      <alignment vertical="center" wrapText="1"/>
    </xf>
    <xf numFmtId="41" fontId="10" fillId="13" borderId="140" xfId="1" applyNumberFormat="1" applyFont="1" applyFill="1" applyBorder="1" applyAlignment="1" applyProtection="1">
      <alignment vertical="center" wrapText="1"/>
    </xf>
    <xf numFmtId="41" fontId="10" fillId="13" borderId="136" xfId="1" applyNumberFormat="1" applyFont="1" applyFill="1" applyBorder="1" applyAlignment="1" applyProtection="1">
      <alignment vertical="center" wrapText="1"/>
    </xf>
    <xf numFmtId="41" fontId="10" fillId="7" borderId="139" xfId="1" applyNumberFormat="1" applyFont="1" applyFill="1" applyBorder="1" applyAlignment="1" applyProtection="1">
      <alignment vertical="center" wrapText="1"/>
    </xf>
    <xf numFmtId="41" fontId="14" fillId="16" borderId="197" xfId="1" applyNumberFormat="1" applyFont="1" applyFill="1" applyBorder="1" applyAlignment="1" applyProtection="1">
      <alignment vertical="center" wrapText="1"/>
    </xf>
    <xf numFmtId="41" fontId="10" fillId="7" borderId="147" xfId="1" applyNumberFormat="1" applyFont="1" applyFill="1" applyBorder="1" applyAlignment="1" applyProtection="1">
      <alignment vertical="center" wrapText="1"/>
    </xf>
    <xf numFmtId="41" fontId="0" fillId="0" borderId="0" xfId="0" applyNumberFormat="1"/>
    <xf numFmtId="41" fontId="0" fillId="0" borderId="0" xfId="0" applyNumberFormat="1" applyAlignment="1">
      <alignment wrapText="1"/>
    </xf>
    <xf numFmtId="41" fontId="10" fillId="16" borderId="213" xfId="1" applyNumberFormat="1" applyFont="1" applyFill="1" applyBorder="1" applyAlignment="1" applyProtection="1">
      <alignment vertical="center" wrapText="1"/>
    </xf>
    <xf numFmtId="41" fontId="10" fillId="13" borderId="159" xfId="1" applyNumberFormat="1" applyFont="1" applyFill="1" applyBorder="1" applyAlignment="1" applyProtection="1">
      <alignment vertical="center" wrapText="1"/>
    </xf>
    <xf numFmtId="41" fontId="10" fillId="13" borderId="137" xfId="1" applyNumberFormat="1" applyFont="1" applyFill="1" applyBorder="1" applyAlignment="1" applyProtection="1">
      <alignment vertical="center" wrapText="1"/>
    </xf>
    <xf numFmtId="41" fontId="14" fillId="16" borderId="202" xfId="1" applyNumberFormat="1" applyFont="1" applyFill="1" applyBorder="1" applyAlignment="1" applyProtection="1">
      <alignment vertical="center" wrapText="1"/>
    </xf>
    <xf numFmtId="41" fontId="10" fillId="16" borderId="202" xfId="1" applyNumberFormat="1" applyFont="1" applyFill="1" applyBorder="1" applyAlignment="1" applyProtection="1">
      <alignment vertical="center" wrapText="1"/>
    </xf>
    <xf numFmtId="0" fontId="14" fillId="11" borderId="110" xfId="1" applyNumberFormat="1" applyFont="1" applyFill="1" applyBorder="1" applyAlignment="1" applyProtection="1">
      <alignment horizontal="center" vertical="center" wrapText="1"/>
    </xf>
    <xf numFmtId="1" fontId="14" fillId="0" borderId="203" xfId="1" applyNumberFormat="1" applyFont="1" applyFill="1" applyBorder="1" applyAlignment="1" applyProtection="1">
      <alignment horizontal="center" vertical="center"/>
    </xf>
    <xf numFmtId="1" fontId="14" fillId="0" borderId="227" xfId="1" applyNumberFormat="1" applyFont="1" applyFill="1" applyBorder="1" applyAlignment="1" applyProtection="1">
      <alignment horizontal="center" vertical="center"/>
    </xf>
    <xf numFmtId="1" fontId="10" fillId="2" borderId="132" xfId="1" applyNumberFormat="1" applyFont="1" applyFill="1" applyBorder="1" applyAlignment="1" applyProtection="1">
      <alignment horizontal="center" vertical="center"/>
    </xf>
    <xf numFmtId="1" fontId="14" fillId="10" borderId="204" xfId="1" applyNumberFormat="1" applyFont="1" applyFill="1" applyBorder="1" applyAlignment="1" applyProtection="1">
      <alignment horizontal="center" vertical="center"/>
    </xf>
    <xf numFmtId="1" fontId="14" fillId="10" borderId="203" xfId="1" applyNumberFormat="1" applyFont="1" applyFill="1" applyBorder="1" applyAlignment="1" applyProtection="1">
      <alignment horizontal="center" vertical="center"/>
    </xf>
    <xf numFmtId="1" fontId="14" fillId="0" borderId="226" xfId="1" applyNumberFormat="1" applyFont="1" applyFill="1" applyBorder="1" applyAlignment="1" applyProtection="1">
      <alignment horizontal="center" vertical="center"/>
    </xf>
    <xf numFmtId="1" fontId="14" fillId="2" borderId="132" xfId="1" applyNumberFormat="1" applyFont="1" applyFill="1" applyBorder="1" applyAlignment="1" applyProtection="1">
      <alignment horizontal="center" vertical="center"/>
    </xf>
    <xf numFmtId="1" fontId="14" fillId="0" borderId="225" xfId="1" applyNumberFormat="1" applyFont="1" applyFill="1" applyBorder="1" applyAlignment="1" applyProtection="1">
      <alignment horizontal="center" vertical="center"/>
    </xf>
    <xf numFmtId="41" fontId="10" fillId="15" borderId="94" xfId="1" applyNumberFormat="1" applyFont="1" applyFill="1" applyBorder="1" applyAlignment="1" applyProtection="1">
      <alignment vertical="center" wrapText="1"/>
    </xf>
    <xf numFmtId="43" fontId="10" fillId="15" borderId="94" xfId="1" applyFont="1" applyFill="1" applyBorder="1" applyAlignment="1" applyProtection="1">
      <alignment vertical="center" wrapText="1"/>
    </xf>
    <xf numFmtId="43" fontId="10" fillId="16" borderId="200" xfId="1" applyFont="1" applyFill="1" applyBorder="1" applyAlignment="1" applyProtection="1">
      <alignment vertical="center" wrapText="1"/>
    </xf>
    <xf numFmtId="43" fontId="10" fillId="13" borderId="151" xfId="1" applyFont="1" applyFill="1" applyBorder="1" applyAlignment="1" applyProtection="1">
      <alignment vertical="center" wrapText="1"/>
    </xf>
    <xf numFmtId="43" fontId="10" fillId="13" borderId="144" xfId="1" applyFont="1" applyFill="1" applyBorder="1" applyAlignment="1" applyProtection="1">
      <alignment vertical="center" wrapText="1"/>
    </xf>
    <xf numFmtId="43" fontId="14" fillId="16" borderId="200" xfId="1" applyFont="1" applyFill="1" applyBorder="1" applyAlignment="1" applyProtection="1">
      <alignment vertical="center" wrapText="1"/>
    </xf>
    <xf numFmtId="43" fontId="10" fillId="15" borderId="116" xfId="1" applyFont="1" applyFill="1" applyBorder="1" applyAlignment="1" applyProtection="1">
      <alignment vertical="center" wrapText="1"/>
    </xf>
    <xf numFmtId="1" fontId="14" fillId="0" borderId="204" xfId="1" applyNumberFormat="1" applyFont="1" applyFill="1" applyBorder="1" applyAlignment="1" applyProtection="1">
      <alignment horizontal="center" vertical="center"/>
    </xf>
    <xf numFmtId="1" fontId="14" fillId="11" borderId="14" xfId="1" applyNumberFormat="1" applyFont="1" applyFill="1" applyBorder="1" applyAlignment="1" applyProtection="1">
      <alignment horizontal="center" vertical="center"/>
    </xf>
    <xf numFmtId="41" fontId="14" fillId="11" borderId="104" xfId="0" applyNumberFormat="1" applyFont="1" applyFill="1" applyBorder="1" applyAlignment="1">
      <alignment horizontal="center" vertical="center" wrapText="1"/>
    </xf>
    <xf numFmtId="165" fontId="14" fillId="11" borderId="104" xfId="2" applyNumberFormat="1" applyFont="1" applyFill="1" applyBorder="1" applyAlignment="1" applyProtection="1">
      <alignment horizontal="center" vertical="center" wrapText="1"/>
    </xf>
    <xf numFmtId="165" fontId="14" fillId="11" borderId="105" xfId="2" applyNumberFormat="1" applyFont="1" applyFill="1" applyBorder="1" applyAlignment="1" applyProtection="1">
      <alignment horizontal="center" vertical="center" wrapText="1"/>
    </xf>
    <xf numFmtId="0" fontId="10" fillId="11" borderId="26" xfId="0" applyFont="1" applyFill="1" applyBorder="1" applyAlignment="1">
      <alignment horizontal="center" vertical="center" wrapText="1"/>
    </xf>
    <xf numFmtId="0" fontId="14" fillId="11" borderId="112" xfId="0" applyFont="1" applyFill="1" applyBorder="1" applyAlignment="1">
      <alignment horizontal="center" vertical="center" wrapText="1"/>
    </xf>
    <xf numFmtId="0" fontId="14" fillId="11" borderId="110" xfId="0" applyFont="1" applyFill="1" applyBorder="1" applyAlignment="1">
      <alignment horizontal="center" vertical="center" wrapText="1"/>
    </xf>
    <xf numFmtId="0" fontId="14" fillId="11" borderId="110" xfId="2" applyNumberFormat="1" applyFont="1" applyFill="1" applyBorder="1" applyAlignment="1" applyProtection="1">
      <alignment horizontal="center" vertical="center" wrapText="1"/>
    </xf>
    <xf numFmtId="0" fontId="14" fillId="11" borderId="111" xfId="2" applyNumberFormat="1" applyFont="1" applyFill="1" applyBorder="1" applyAlignment="1" applyProtection="1">
      <alignment horizontal="center" vertical="center" wrapText="1"/>
    </xf>
    <xf numFmtId="0" fontId="4" fillId="11" borderId="64" xfId="0" applyFont="1" applyFill="1" applyBorder="1" applyAlignment="1">
      <alignment horizontal="left" vertical="center" wrapText="1"/>
    </xf>
    <xf numFmtId="0" fontId="14" fillId="0" borderId="204" xfId="0" applyFont="1" applyBorder="1" applyAlignment="1">
      <alignment horizontal="center" vertical="center" wrapText="1"/>
    </xf>
    <xf numFmtId="0" fontId="14" fillId="0" borderId="172" xfId="0" applyFont="1" applyBorder="1" applyAlignment="1">
      <alignment horizontal="left" vertical="center" wrapText="1"/>
    </xf>
    <xf numFmtId="0" fontId="14" fillId="0" borderId="203" xfId="0" applyFont="1" applyBorder="1" applyAlignment="1">
      <alignment horizontal="center" vertical="center" wrapText="1"/>
    </xf>
    <xf numFmtId="0" fontId="14" fillId="0" borderId="170" xfId="0" applyFont="1" applyBorder="1" applyAlignment="1">
      <alignment horizontal="left" vertical="center" wrapText="1"/>
    </xf>
    <xf numFmtId="0" fontId="2" fillId="0" borderId="227" xfId="0" applyFont="1" applyBorder="1" applyAlignment="1">
      <alignment horizontal="center" vertical="center" wrapText="1"/>
    </xf>
    <xf numFmtId="0" fontId="2" fillId="0" borderId="199" xfId="0" applyFont="1" applyBorder="1" applyAlignment="1">
      <alignment horizontal="left" vertical="center" wrapText="1"/>
    </xf>
    <xf numFmtId="0" fontId="4" fillId="2" borderId="132" xfId="0" applyFont="1" applyFill="1" applyBorder="1" applyAlignment="1">
      <alignment horizontal="right" vertical="center" wrapText="1"/>
    </xf>
    <xf numFmtId="0" fontId="4" fillId="2" borderId="79" xfId="0" applyFont="1" applyFill="1" applyBorder="1" applyAlignment="1">
      <alignment horizontal="left" vertical="center" wrapText="1"/>
    </xf>
    <xf numFmtId="0" fontId="4" fillId="10" borderId="204" xfId="0" applyFont="1" applyFill="1" applyBorder="1" applyAlignment="1">
      <alignment horizontal="right" vertical="center" wrapText="1"/>
    </xf>
    <xf numFmtId="0" fontId="4" fillId="10" borderId="172" xfId="0" applyFont="1" applyFill="1" applyBorder="1" applyAlignment="1">
      <alignment horizontal="left" vertical="center" wrapText="1"/>
    </xf>
    <xf numFmtId="0" fontId="10" fillId="0" borderId="203" xfId="0" applyFont="1" applyBorder="1" applyAlignment="1">
      <alignment horizontal="right" vertical="center" wrapText="1"/>
    </xf>
    <xf numFmtId="0" fontId="10" fillId="0" borderId="170" xfId="0" applyFont="1" applyBorder="1" applyAlignment="1">
      <alignment horizontal="left" vertical="center" wrapText="1"/>
    </xf>
    <xf numFmtId="0" fontId="4" fillId="10" borderId="203" xfId="0" applyFont="1" applyFill="1" applyBorder="1" applyAlignment="1">
      <alignment horizontal="right" vertical="center" wrapText="1"/>
    </xf>
    <xf numFmtId="0" fontId="4" fillId="10" borderId="170" xfId="0" applyFont="1" applyFill="1" applyBorder="1" applyAlignment="1">
      <alignment horizontal="left" vertical="center" wrapText="1"/>
    </xf>
    <xf numFmtId="0" fontId="10" fillId="0" borderId="171" xfId="0" applyFont="1" applyBorder="1" applyAlignment="1">
      <alignment horizontal="left" vertical="center" wrapText="1"/>
    </xf>
    <xf numFmtId="0" fontId="4" fillId="17" borderId="203" xfId="0" applyFont="1" applyFill="1" applyBorder="1" applyAlignment="1">
      <alignment horizontal="right" vertical="center" wrapText="1"/>
    </xf>
    <xf numFmtId="0" fontId="4" fillId="2" borderId="203" xfId="0" applyFont="1" applyFill="1" applyBorder="1" applyAlignment="1">
      <alignment horizontal="right" vertical="center" wrapText="1"/>
    </xf>
    <xf numFmtId="0" fontId="4" fillId="0" borderId="203" xfId="0" applyFont="1" applyBorder="1" applyAlignment="1">
      <alignment horizontal="right" vertical="center" wrapText="1"/>
    </xf>
    <xf numFmtId="0" fontId="10" fillId="0" borderId="225" xfId="0" applyFont="1" applyBorder="1" applyAlignment="1">
      <alignment horizontal="right" vertical="center" wrapText="1"/>
    </xf>
    <xf numFmtId="0" fontId="10" fillId="0" borderId="173" xfId="0" applyFont="1" applyBorder="1" applyAlignment="1">
      <alignment horizontal="left" vertical="center" wrapText="1"/>
    </xf>
    <xf numFmtId="43" fontId="10" fillId="7" borderId="151" xfId="1" applyFont="1" applyFill="1" applyBorder="1" applyAlignment="1" applyProtection="1">
      <alignment vertical="center" wrapText="1"/>
      <protection locked="0"/>
    </xf>
    <xf numFmtId="41" fontId="10" fillId="7" borderId="140" xfId="1" applyNumberFormat="1" applyFont="1" applyFill="1" applyBorder="1" applyAlignment="1" applyProtection="1">
      <alignment vertical="center" wrapText="1"/>
      <protection locked="0"/>
    </xf>
    <xf numFmtId="43" fontId="10" fillId="7" borderId="144" xfId="1" applyFont="1" applyFill="1" applyBorder="1" applyAlignment="1" applyProtection="1">
      <alignment vertical="center" wrapText="1"/>
      <protection locked="0"/>
    </xf>
    <xf numFmtId="41" fontId="10" fillId="7" borderId="136" xfId="1" applyNumberFormat="1" applyFont="1" applyFill="1" applyBorder="1" applyAlignment="1" applyProtection="1">
      <alignment vertical="center" wrapText="1"/>
      <protection locked="0"/>
    </xf>
    <xf numFmtId="43" fontId="10" fillId="7" borderId="190" xfId="1" applyFont="1" applyFill="1" applyBorder="1" applyAlignment="1" applyProtection="1">
      <alignment vertical="center" wrapText="1"/>
      <protection locked="0"/>
    </xf>
    <xf numFmtId="41" fontId="10" fillId="7" borderId="212" xfId="1" applyNumberFormat="1" applyFont="1" applyFill="1" applyBorder="1" applyAlignment="1" applyProtection="1">
      <alignment vertical="center" wrapText="1"/>
      <protection locked="0"/>
    </xf>
    <xf numFmtId="43" fontId="10" fillId="7" borderId="140" xfId="1" applyFont="1" applyFill="1" applyBorder="1" applyAlignment="1" applyProtection="1">
      <alignment vertical="center" wrapText="1"/>
      <protection locked="0"/>
    </xf>
    <xf numFmtId="41" fontId="10" fillId="7" borderId="159" xfId="1" applyNumberFormat="1" applyFont="1" applyFill="1" applyBorder="1" applyAlignment="1" applyProtection="1">
      <alignment vertical="center" wrapText="1"/>
      <protection locked="0"/>
    </xf>
    <xf numFmtId="43" fontId="10" fillId="7" borderId="136" xfId="1" applyFont="1" applyFill="1" applyBorder="1" applyAlignment="1" applyProtection="1">
      <alignment vertical="center" wrapText="1"/>
      <protection locked="0"/>
    </xf>
    <xf numFmtId="43" fontId="10" fillId="7" borderId="139" xfId="1" applyFont="1" applyFill="1" applyBorder="1" applyAlignment="1" applyProtection="1">
      <alignment vertical="center" wrapText="1"/>
      <protection locked="0"/>
    </xf>
    <xf numFmtId="41" fontId="10" fillId="7" borderId="139" xfId="1" applyNumberFormat="1" applyFont="1" applyFill="1" applyBorder="1" applyAlignment="1" applyProtection="1">
      <alignment vertical="center" wrapText="1"/>
      <protection locked="0"/>
    </xf>
    <xf numFmtId="41" fontId="10" fillId="7" borderId="137" xfId="1" applyNumberFormat="1" applyFont="1" applyFill="1" applyBorder="1" applyAlignment="1" applyProtection="1">
      <alignment vertical="center" wrapText="1"/>
      <protection locked="0"/>
    </xf>
    <xf numFmtId="43" fontId="10" fillId="7" borderId="149" xfId="1" applyFont="1" applyFill="1" applyBorder="1" applyAlignment="1" applyProtection="1">
      <alignment vertical="center" wrapText="1"/>
      <protection locked="0"/>
    </xf>
    <xf numFmtId="41" fontId="10" fillId="7" borderId="157" xfId="1" applyNumberFormat="1" applyFont="1" applyFill="1" applyBorder="1" applyAlignment="1" applyProtection="1">
      <alignment vertical="center" wrapText="1"/>
      <protection locked="0"/>
    </xf>
    <xf numFmtId="41" fontId="10" fillId="7" borderId="147" xfId="1" applyNumberFormat="1" applyFont="1" applyFill="1" applyBorder="1" applyAlignment="1" applyProtection="1">
      <alignment vertical="center" wrapText="1"/>
      <protection locked="0"/>
    </xf>
    <xf numFmtId="43" fontId="10" fillId="7" borderId="146" xfId="1" applyFont="1" applyFill="1" applyBorder="1" applyAlignment="1" applyProtection="1">
      <alignment vertical="center" wrapText="1"/>
      <protection locked="0"/>
    </xf>
    <xf numFmtId="43" fontId="10" fillId="7" borderId="147" xfId="1" applyFont="1" applyFill="1" applyBorder="1" applyAlignment="1" applyProtection="1">
      <alignment vertical="center" wrapText="1"/>
      <protection locked="0"/>
    </xf>
    <xf numFmtId="41" fontId="10" fillId="7" borderId="160" xfId="1" applyNumberFormat="1" applyFont="1" applyFill="1" applyBorder="1" applyAlignment="1" applyProtection="1">
      <alignment vertical="center" wrapText="1"/>
      <protection locked="0"/>
    </xf>
    <xf numFmtId="0" fontId="2" fillId="0" borderId="0" xfId="0" applyFont="1" applyAlignment="1">
      <alignment vertical="center"/>
    </xf>
    <xf numFmtId="164" fontId="1" fillId="0" borderId="119" xfId="0" applyNumberFormat="1" applyFont="1" applyBorder="1" applyAlignment="1">
      <alignment horizontal="center" vertical="center"/>
    </xf>
    <xf numFmtId="168" fontId="35" fillId="0" borderId="0" xfId="1" applyNumberFormat="1" applyFont="1" applyFill="1" applyBorder="1" applyAlignment="1" applyProtection="1">
      <alignment vertical="center" wrapText="1"/>
    </xf>
    <xf numFmtId="9" fontId="10" fillId="0" borderId="0" xfId="0" applyNumberFormat="1" applyFont="1" applyAlignment="1">
      <alignment vertical="center"/>
    </xf>
    <xf numFmtId="0" fontId="36" fillId="0" borderId="0" xfId="0" applyFont="1" applyAlignment="1">
      <alignment horizontal="right" vertical="center"/>
    </xf>
    <xf numFmtId="9" fontId="6" fillId="0" borderId="0" xfId="0" applyNumberFormat="1" applyFont="1" applyAlignment="1">
      <alignment horizontal="right" vertical="center"/>
    </xf>
    <xf numFmtId="0" fontId="14" fillId="6" borderId="103" xfId="0" applyFont="1" applyFill="1" applyBorder="1" applyAlignment="1">
      <alignment horizontal="center" vertical="center"/>
    </xf>
    <xf numFmtId="0" fontId="14" fillId="6" borderId="104" xfId="0" applyFont="1" applyFill="1" applyBorder="1" applyAlignment="1">
      <alignment horizontal="center" vertical="center" wrapText="1"/>
    </xf>
    <xf numFmtId="0" fontId="10" fillId="0" borderId="125" xfId="0" applyFont="1" applyBorder="1" applyAlignment="1">
      <alignment horizontal="center" vertical="center" wrapText="1"/>
    </xf>
    <xf numFmtId="0" fontId="10" fillId="0" borderId="126" xfId="0" applyFont="1" applyBorder="1" applyAlignment="1" applyProtection="1">
      <alignment vertical="center" wrapText="1"/>
      <protection locked="0"/>
    </xf>
    <xf numFmtId="49" fontId="10" fillId="0" borderId="120" xfId="0" applyNumberFormat="1" applyFont="1" applyBorder="1" applyAlignment="1" applyProtection="1">
      <alignment vertical="center" wrapText="1"/>
      <protection locked="0"/>
    </xf>
    <xf numFmtId="164" fontId="10" fillId="0" borderId="118" xfId="1" applyNumberFormat="1" applyFont="1" applyBorder="1" applyAlignment="1" applyProtection="1">
      <alignment horizontal="center" vertical="center" wrapText="1"/>
      <protection locked="0"/>
    </xf>
    <xf numFmtId="10" fontId="10" fillId="0" borderId="119" xfId="0" applyNumberFormat="1" applyFont="1" applyBorder="1" applyAlignment="1" applyProtection="1">
      <alignment horizontal="center" vertical="center" wrapText="1"/>
      <protection locked="0"/>
    </xf>
    <xf numFmtId="14" fontId="10" fillId="0" borderId="119" xfId="0" applyNumberFormat="1" applyFont="1" applyBorder="1" applyAlignment="1" applyProtection="1">
      <alignment horizontal="center" vertical="center" wrapText="1"/>
      <protection locked="0"/>
    </xf>
    <xf numFmtId="0" fontId="14" fillId="0" borderId="119" xfId="6" applyFont="1" applyBorder="1" applyAlignment="1" applyProtection="1">
      <alignment horizontal="center"/>
      <protection locked="0"/>
    </xf>
    <xf numFmtId="164" fontId="10" fillId="0" borderId="119" xfId="0" applyNumberFormat="1" applyFont="1" applyBorder="1" applyAlignment="1" applyProtection="1">
      <alignment horizontal="center" vertical="center" wrapText="1"/>
      <protection locked="0"/>
    </xf>
    <xf numFmtId="0" fontId="10" fillId="0" borderId="127" xfId="0" applyFont="1" applyBorder="1" applyAlignment="1">
      <alignment horizontal="center" vertical="center" wrapText="1"/>
    </xf>
    <xf numFmtId="0" fontId="10" fillId="0" borderId="96" xfId="0" applyFont="1" applyBorder="1" applyAlignment="1" applyProtection="1">
      <alignment vertical="center" wrapText="1"/>
      <protection locked="0"/>
    </xf>
    <xf numFmtId="49" fontId="10" fillId="0" borderId="98" xfId="0" applyNumberFormat="1" applyFont="1" applyBorder="1" applyAlignment="1" applyProtection="1">
      <alignment vertical="center" wrapText="1"/>
      <protection locked="0"/>
    </xf>
    <xf numFmtId="164" fontId="10" fillId="0" borderId="101" xfId="1" applyNumberFormat="1" applyFont="1" applyBorder="1" applyAlignment="1" applyProtection="1">
      <alignment horizontal="center" vertical="center" wrapText="1"/>
      <protection locked="0"/>
    </xf>
    <xf numFmtId="10" fontId="10" fillId="0" borderId="97" xfId="0" applyNumberFormat="1" applyFont="1" applyBorder="1" applyAlignment="1" applyProtection="1">
      <alignment horizontal="center" vertical="center" wrapText="1"/>
      <protection locked="0"/>
    </xf>
    <xf numFmtId="14" fontId="10" fillId="0" borderId="97" xfId="0" applyNumberFormat="1" applyFont="1" applyBorder="1" applyAlignment="1" applyProtection="1">
      <alignment horizontal="center" vertical="center" wrapText="1"/>
      <protection locked="0"/>
    </xf>
    <xf numFmtId="0" fontId="14" fillId="0" borderId="97" xfId="6" applyFont="1" applyBorder="1" applyAlignment="1" applyProtection="1">
      <alignment horizontal="center"/>
      <protection locked="0"/>
    </xf>
    <xf numFmtId="164" fontId="10" fillId="0" borderId="97" xfId="0" applyNumberFormat="1" applyFont="1" applyBorder="1" applyAlignment="1" applyProtection="1">
      <alignment horizontal="center" vertical="center" wrapText="1"/>
      <protection locked="0"/>
    </xf>
    <xf numFmtId="0" fontId="10" fillId="0" borderId="131" xfId="0" applyFont="1" applyBorder="1" applyAlignment="1">
      <alignment horizontal="center" vertical="center" wrapText="1"/>
    </xf>
    <xf numFmtId="0" fontId="10" fillId="0" borderId="130" xfId="0" applyFont="1" applyBorder="1" applyAlignment="1" applyProtection="1">
      <alignment vertical="center" wrapText="1"/>
      <protection locked="0"/>
    </xf>
    <xf numFmtId="164" fontId="10" fillId="0" borderId="121" xfId="1" applyNumberFormat="1" applyFont="1" applyBorder="1" applyAlignment="1" applyProtection="1">
      <alignment horizontal="center" vertical="center" wrapText="1"/>
      <protection locked="0"/>
    </xf>
    <xf numFmtId="10" fontId="10" fillId="0" borderId="99" xfId="0" applyNumberFormat="1" applyFont="1" applyBorder="1" applyAlignment="1" applyProtection="1">
      <alignment horizontal="center" vertical="center" wrapText="1"/>
      <protection locked="0"/>
    </xf>
    <xf numFmtId="14" fontId="10" fillId="0" borderId="99" xfId="0" applyNumberFormat="1" applyFont="1" applyBorder="1" applyAlignment="1" applyProtection="1">
      <alignment horizontal="center" vertical="center" wrapText="1"/>
      <protection locked="0"/>
    </xf>
    <xf numFmtId="164" fontId="10" fillId="0" borderId="99" xfId="0" applyNumberFormat="1" applyFont="1" applyBorder="1" applyAlignment="1" applyProtection="1">
      <alignment horizontal="center" vertical="center" wrapText="1"/>
      <protection locked="0"/>
    </xf>
    <xf numFmtId="164" fontId="10" fillId="20" borderId="112" xfId="0" applyNumberFormat="1" applyFont="1" applyFill="1" applyBorder="1" applyAlignment="1">
      <alignment horizontal="center" vertical="center" wrapText="1"/>
    </xf>
    <xf numFmtId="164" fontId="10" fillId="20" borderId="110" xfId="0" applyNumberFormat="1" applyFont="1" applyFill="1" applyBorder="1" applyAlignment="1">
      <alignment horizontal="center" vertical="center" wrapText="1"/>
    </xf>
    <xf numFmtId="0" fontId="10" fillId="5" borderId="122" xfId="0" applyFont="1" applyFill="1" applyBorder="1" applyAlignment="1">
      <alignment horizontal="center" vertical="center" wrapText="1"/>
    </xf>
    <xf numFmtId="10" fontId="14" fillId="5" borderId="5" xfId="4" applyNumberFormat="1" applyFont="1" applyFill="1" applyBorder="1" applyAlignment="1" applyProtection="1">
      <alignment horizontal="center" vertical="center" wrapText="1"/>
    </xf>
    <xf numFmtId="0" fontId="10" fillId="0" borderId="0" xfId="0" applyFont="1" applyAlignment="1">
      <alignment horizontal="center" vertical="center"/>
    </xf>
    <xf numFmtId="0" fontId="10" fillId="0" borderId="97" xfId="0" applyFont="1" applyBorder="1" applyAlignment="1" applyProtection="1">
      <alignment horizontal="center" vertical="center" wrapText="1"/>
      <protection locked="0"/>
    </xf>
    <xf numFmtId="0" fontId="14" fillId="0" borderId="0" xfId="0" applyFont="1"/>
    <xf numFmtId="173" fontId="6" fillId="0" borderId="0" xfId="0" applyNumberFormat="1" applyFont="1" applyAlignment="1">
      <alignment vertical="center"/>
    </xf>
    <xf numFmtId="0" fontId="10" fillId="0" borderId="134" xfId="0" applyFont="1" applyBorder="1" applyAlignment="1">
      <alignment horizontal="center" vertical="center" wrapText="1"/>
    </xf>
    <xf numFmtId="0" fontId="10" fillId="0" borderId="126" xfId="0" applyFont="1" applyBorder="1" applyAlignment="1" applyProtection="1">
      <alignment horizontal="left" vertical="center" wrapText="1"/>
      <protection locked="0"/>
    </xf>
    <xf numFmtId="164" fontId="10" fillId="0" borderId="118" xfId="0" applyNumberFormat="1" applyFont="1" applyBorder="1" applyAlignment="1" applyProtection="1">
      <alignment horizontal="center" vertical="center" wrapText="1"/>
      <protection locked="0"/>
    </xf>
    <xf numFmtId="0" fontId="10" fillId="0" borderId="132" xfId="0" applyFont="1" applyBorder="1" applyAlignment="1">
      <alignment horizontal="center" vertical="center" wrapText="1"/>
    </xf>
    <xf numFmtId="0" fontId="10" fillId="0" borderId="96" xfId="0" applyFont="1" applyBorder="1" applyAlignment="1" applyProtection="1">
      <alignment horizontal="left" vertical="center" wrapText="1"/>
      <protection locked="0"/>
    </xf>
    <xf numFmtId="164" fontId="10" fillId="0" borderId="101" xfId="0" applyNumberFormat="1" applyFont="1" applyBorder="1" applyAlignment="1" applyProtection="1">
      <alignment horizontal="center" vertical="center" wrapText="1"/>
      <protection locked="0"/>
    </xf>
    <xf numFmtId="0" fontId="10" fillId="0" borderId="135" xfId="0" applyFont="1" applyBorder="1" applyAlignment="1">
      <alignment horizontal="center" vertical="center" wrapText="1"/>
    </xf>
    <xf numFmtId="0" fontId="10" fillId="0" borderId="103" xfId="0" applyFont="1" applyBorder="1" applyAlignment="1" applyProtection="1">
      <alignment horizontal="left" vertical="center" wrapText="1"/>
      <protection locked="0"/>
    </xf>
    <xf numFmtId="164" fontId="10" fillId="0" borderId="121" xfId="0" applyNumberFormat="1" applyFont="1" applyBorder="1" applyAlignment="1" applyProtection="1">
      <alignment horizontal="center" vertical="center" wrapText="1"/>
      <protection locked="0"/>
    </xf>
    <xf numFmtId="43" fontId="10" fillId="0" borderId="0" xfId="0" applyNumberFormat="1" applyFont="1" applyAlignment="1">
      <alignment vertical="center"/>
    </xf>
    <xf numFmtId="0" fontId="10" fillId="6" borderId="90" xfId="0" applyFont="1" applyFill="1" applyBorder="1" applyAlignment="1">
      <alignment horizontal="center" vertical="center" wrapText="1"/>
    </xf>
    <xf numFmtId="0" fontId="10" fillId="6" borderId="93" xfId="0" applyFont="1" applyFill="1" applyBorder="1" applyAlignment="1">
      <alignment horizontal="center" vertical="center" wrapText="1"/>
    </xf>
    <xf numFmtId="0" fontId="10" fillId="6" borderId="116" xfId="0" applyFont="1" applyFill="1" applyBorder="1" applyAlignment="1">
      <alignment horizontal="center" vertical="center" wrapText="1"/>
    </xf>
    <xf numFmtId="0" fontId="39" fillId="6" borderId="94" xfId="0" applyFont="1" applyFill="1" applyBorder="1" applyAlignment="1">
      <alignment horizontal="center" vertical="center" wrapText="1"/>
    </xf>
    <xf numFmtId="49" fontId="10" fillId="0" borderId="119" xfId="0" applyNumberFormat="1" applyFont="1" applyBorder="1" applyAlignment="1" applyProtection="1">
      <alignment horizontal="right" vertical="center" wrapText="1"/>
      <protection locked="0"/>
    </xf>
    <xf numFmtId="167" fontId="10" fillId="0" borderId="118" xfId="0" applyNumberFormat="1" applyFont="1" applyBorder="1" applyAlignment="1" applyProtection="1">
      <alignment horizontal="center" vertical="center" wrapText="1"/>
      <protection locked="0"/>
    </xf>
    <xf numFmtId="4" fontId="10" fillId="0" borderId="119" xfId="0" applyNumberFormat="1" applyFont="1" applyBorder="1" applyAlignment="1" applyProtection="1">
      <alignment horizontal="center" vertical="center" wrapText="1"/>
      <protection locked="0"/>
    </xf>
    <xf numFmtId="166" fontId="10" fillId="0" borderId="119" xfId="0" applyNumberFormat="1" applyFont="1" applyBorder="1" applyAlignment="1" applyProtection="1">
      <alignment horizontal="center" vertical="center" wrapText="1"/>
      <protection locked="0"/>
    </xf>
    <xf numFmtId="14" fontId="10" fillId="0" borderId="125" xfId="0" applyNumberFormat="1" applyFont="1" applyBorder="1" applyAlignment="1" applyProtection="1">
      <alignment horizontal="center" vertical="center" wrapText="1"/>
      <protection locked="0"/>
    </xf>
    <xf numFmtId="167" fontId="10" fillId="0" borderId="101" xfId="0" applyNumberFormat="1" applyFont="1" applyBorder="1" applyAlignment="1" applyProtection="1">
      <alignment horizontal="center" vertical="center" wrapText="1"/>
      <protection locked="0"/>
    </xf>
    <xf numFmtId="4" fontId="10" fillId="0" borderId="97" xfId="0" applyNumberFormat="1" applyFont="1" applyBorder="1" applyAlignment="1" applyProtection="1">
      <alignment horizontal="center" vertical="center" wrapText="1"/>
      <protection locked="0"/>
    </xf>
    <xf numFmtId="166" fontId="10" fillId="0" borderId="97" xfId="0" applyNumberFormat="1" applyFont="1" applyBorder="1" applyAlignment="1" applyProtection="1">
      <alignment horizontal="center" vertical="center" wrapText="1"/>
      <protection locked="0"/>
    </xf>
    <xf numFmtId="14" fontId="10" fillId="0" borderId="127" xfId="0" applyNumberFormat="1" applyFont="1" applyBorder="1" applyAlignment="1" applyProtection="1">
      <alignment horizontal="center" vertical="center" wrapText="1"/>
      <protection locked="0"/>
    </xf>
    <xf numFmtId="167" fontId="10" fillId="0" borderId="121" xfId="0" applyNumberFormat="1" applyFont="1" applyBorder="1" applyAlignment="1" applyProtection="1">
      <alignment horizontal="center" vertical="center" wrapText="1"/>
      <protection locked="0"/>
    </xf>
    <xf numFmtId="4" fontId="10" fillId="0" borderId="99" xfId="0" applyNumberFormat="1" applyFont="1" applyBorder="1" applyAlignment="1" applyProtection="1">
      <alignment horizontal="center" vertical="center" wrapText="1"/>
      <protection locked="0"/>
    </xf>
    <xf numFmtId="166" fontId="10" fillId="0" borderId="99" xfId="0" applyNumberFormat="1" applyFont="1" applyBorder="1" applyAlignment="1" applyProtection="1">
      <alignment horizontal="center" vertical="center" wrapText="1"/>
      <protection locked="0"/>
    </xf>
    <xf numFmtId="14" fontId="10" fillId="0" borderId="131" xfId="0" applyNumberFormat="1" applyFont="1" applyBorder="1" applyAlignment="1" applyProtection="1">
      <alignment horizontal="center" vertical="center" wrapText="1"/>
      <protection locked="0"/>
    </xf>
    <xf numFmtId="43" fontId="10" fillId="20" borderId="112" xfId="0" applyNumberFormat="1" applyFont="1" applyFill="1" applyBorder="1" applyAlignment="1">
      <alignment horizontal="center" vertical="center" wrapText="1"/>
    </xf>
    <xf numFmtId="43" fontId="10" fillId="20" borderId="110" xfId="0" applyNumberFormat="1" applyFont="1" applyFill="1" applyBorder="1" applyAlignment="1">
      <alignment horizontal="center" vertical="center" wrapText="1"/>
    </xf>
    <xf numFmtId="0" fontId="10" fillId="20" borderId="110" xfId="0" applyFont="1" applyFill="1" applyBorder="1" applyAlignment="1">
      <alignment horizontal="center" vertical="center" wrapText="1"/>
    </xf>
    <xf numFmtId="0" fontId="10" fillId="20" borderId="122" xfId="0" applyFont="1" applyFill="1" applyBorder="1" applyAlignment="1">
      <alignment horizontal="center" vertical="center" wrapText="1"/>
    </xf>
    <xf numFmtId="0" fontId="10" fillId="0" borderId="124" xfId="0" applyFont="1" applyBorder="1" applyAlignment="1">
      <alignment horizontal="center" vertical="center" wrapText="1"/>
    </xf>
    <xf numFmtId="167" fontId="10" fillId="0" borderId="118" xfId="0" applyNumberFormat="1" applyFont="1" applyBorder="1" applyAlignment="1" applyProtection="1">
      <alignment horizontal="right" vertical="center" wrapText="1"/>
      <protection locked="0"/>
    </xf>
    <xf numFmtId="0" fontId="10" fillId="0" borderId="79" xfId="0" applyFont="1" applyBorder="1" applyAlignment="1">
      <alignment horizontal="center" vertical="center" wrapText="1"/>
    </xf>
    <xf numFmtId="167" fontId="10" fillId="0" borderId="101" xfId="0" applyNumberFormat="1" applyFont="1" applyBorder="1" applyAlignment="1" applyProtection="1">
      <alignment horizontal="right" vertical="center" wrapText="1"/>
      <protection locked="0"/>
    </xf>
    <xf numFmtId="165" fontId="10" fillId="0" borderId="0" xfId="2" applyNumberFormat="1" applyFont="1" applyProtection="1"/>
    <xf numFmtId="0" fontId="10" fillId="0" borderId="129" xfId="0" applyFont="1" applyBorder="1" applyAlignment="1">
      <alignment horizontal="center" vertical="center" wrapText="1"/>
    </xf>
    <xf numFmtId="0" fontId="10" fillId="0" borderId="102" xfId="0" applyFont="1" applyBorder="1" applyAlignment="1">
      <alignment horizontal="center" vertical="center" wrapText="1"/>
    </xf>
    <xf numFmtId="167" fontId="10" fillId="0" borderId="121" xfId="0" applyNumberFormat="1" applyFont="1" applyBorder="1" applyAlignment="1" applyProtection="1">
      <alignment horizontal="right" vertical="center" wrapText="1"/>
      <protection locked="0"/>
    </xf>
    <xf numFmtId="167" fontId="10" fillId="20" borderId="112" xfId="0" applyNumberFormat="1" applyFont="1" applyFill="1" applyBorder="1" applyAlignment="1">
      <alignment horizontal="right" vertical="center" wrapText="1"/>
    </xf>
    <xf numFmtId="10" fontId="14" fillId="5" borderId="111" xfId="0" applyNumberFormat="1" applyFont="1" applyFill="1" applyBorder="1" applyAlignment="1">
      <alignment horizontal="center" vertical="center" wrapText="1"/>
    </xf>
    <xf numFmtId="0" fontId="10" fillId="2" borderId="0" xfId="0" applyFont="1" applyFill="1" applyAlignment="1">
      <alignment horizontal="right" vertical="center"/>
    </xf>
    <xf numFmtId="167" fontId="10" fillId="23" borderId="0" xfId="0" applyNumberFormat="1" applyFont="1" applyFill="1" applyAlignment="1">
      <alignment horizontal="right" vertical="center"/>
    </xf>
    <xf numFmtId="10" fontId="14" fillId="23" borderId="0" xfId="0" applyNumberFormat="1" applyFont="1" applyFill="1" applyAlignment="1">
      <alignment horizontal="center" vertical="center"/>
    </xf>
    <xf numFmtId="0" fontId="38" fillId="0" borderId="0" xfId="0" applyFont="1" applyAlignment="1">
      <alignment vertical="center"/>
    </xf>
    <xf numFmtId="10" fontId="15" fillId="0" borderId="0" xfId="0" applyNumberFormat="1" applyFont="1" applyAlignment="1">
      <alignment horizontal="left" vertical="center"/>
    </xf>
    <xf numFmtId="0" fontId="1" fillId="0" borderId="0" xfId="0" applyFont="1" applyAlignment="1">
      <alignment vertical="center"/>
    </xf>
    <xf numFmtId="43" fontId="1" fillId="0" borderId="0" xfId="0" applyNumberFormat="1" applyFont="1" applyAlignment="1">
      <alignment vertical="center"/>
    </xf>
    <xf numFmtId="49" fontId="1" fillId="0" borderId="0" xfId="0" applyNumberFormat="1" applyFont="1" applyAlignment="1">
      <alignment vertical="center"/>
    </xf>
    <xf numFmtId="0" fontId="32" fillId="0" borderId="0" xfId="0" applyFont="1" applyAlignment="1">
      <alignment vertical="center"/>
    </xf>
    <xf numFmtId="43" fontId="32" fillId="0" borderId="0" xfId="0" applyNumberFormat="1" applyFont="1" applyAlignment="1">
      <alignment horizontal="right" vertical="center"/>
    </xf>
    <xf numFmtId="43" fontId="40" fillId="0" borderId="0" xfId="0" applyNumberFormat="1" applyFont="1" applyAlignment="1">
      <alignment horizontal="right" vertical="center"/>
    </xf>
    <xf numFmtId="43" fontId="41" fillId="0" borderId="0" xfId="0" applyNumberFormat="1" applyFont="1" applyAlignment="1">
      <alignment vertical="center"/>
    </xf>
    <xf numFmtId="173" fontId="32" fillId="0" borderId="0" xfId="0" applyNumberFormat="1" applyFont="1" applyAlignment="1">
      <alignment vertical="center"/>
    </xf>
    <xf numFmtId="0" fontId="34" fillId="0" borderId="0" xfId="0" applyFont="1"/>
    <xf numFmtId="0" fontId="1" fillId="0" borderId="96" xfId="0" applyFont="1" applyBorder="1" applyAlignment="1">
      <alignment horizontal="center" vertical="center"/>
    </xf>
    <xf numFmtId="0" fontId="1" fillId="0" borderId="126" xfId="0" applyFont="1" applyBorder="1" applyAlignment="1">
      <alignment horizontal="center" vertical="center"/>
    </xf>
    <xf numFmtId="174" fontId="1" fillId="0" borderId="97" xfId="0" applyNumberFormat="1" applyFont="1" applyBorder="1" applyAlignment="1" applyProtection="1">
      <alignment horizontal="center" vertical="center"/>
      <protection locked="0"/>
    </xf>
    <xf numFmtId="164" fontId="1" fillId="0" borderId="97" xfId="0" applyNumberFormat="1" applyFont="1" applyBorder="1" applyAlignment="1">
      <alignment horizontal="center" vertical="center"/>
    </xf>
    <xf numFmtId="0" fontId="28" fillId="0" borderId="0" xfId="0" applyFont="1" applyAlignment="1">
      <alignment vertical="center"/>
    </xf>
    <xf numFmtId="0" fontId="1" fillId="0" borderId="0" xfId="0" applyFont="1" applyAlignment="1">
      <alignment horizontal="left" vertical="center"/>
    </xf>
    <xf numFmtId="0" fontId="44" fillId="0" borderId="0" xfId="0" applyFont="1" applyAlignment="1">
      <alignment vertical="center"/>
    </xf>
    <xf numFmtId="0" fontId="45" fillId="0" borderId="0" xfId="0" applyFont="1" applyAlignment="1">
      <alignment vertical="center"/>
    </xf>
    <xf numFmtId="173" fontId="10" fillId="0" borderId="0" xfId="0" applyNumberFormat="1" applyFont="1" applyAlignment="1">
      <alignment vertical="center"/>
    </xf>
    <xf numFmtId="165" fontId="10" fillId="0" borderId="0" xfId="0" applyNumberFormat="1" applyFont="1" applyAlignment="1">
      <alignment vertical="center"/>
    </xf>
    <xf numFmtId="0" fontId="10" fillId="6" borderId="109" xfId="0" applyFont="1" applyFill="1" applyBorder="1" applyAlignment="1">
      <alignment horizontal="center" vertical="center" wrapText="1"/>
    </xf>
    <xf numFmtId="0" fontId="10" fillId="6" borderId="110" xfId="0" applyFont="1" applyFill="1" applyBorder="1" applyAlignment="1">
      <alignment horizontal="center" vertical="center" wrapText="1"/>
    </xf>
    <xf numFmtId="165" fontId="10" fillId="6" borderId="110" xfId="0" applyNumberFormat="1" applyFont="1" applyFill="1" applyBorder="1" applyAlignment="1">
      <alignment horizontal="center" vertical="center" wrapText="1"/>
    </xf>
    <xf numFmtId="0" fontId="4" fillId="6" borderId="110" xfId="0" applyFont="1" applyFill="1" applyBorder="1" applyAlignment="1">
      <alignment horizontal="left" vertical="center" wrapText="1"/>
    </xf>
    <xf numFmtId="164" fontId="14" fillId="6" borderId="110" xfId="0" applyNumberFormat="1" applyFont="1" applyFill="1" applyBorder="1" applyAlignment="1">
      <alignment horizontal="center" vertical="center" wrapText="1"/>
    </xf>
    <xf numFmtId="9" fontId="14" fillId="6" borderId="110" xfId="0" applyNumberFormat="1" applyFont="1" applyFill="1" applyBorder="1" applyAlignment="1">
      <alignment horizontal="center" vertical="center" wrapText="1"/>
    </xf>
    <xf numFmtId="164" fontId="10" fillId="6" borderId="110" xfId="0" applyNumberFormat="1" applyFont="1" applyFill="1" applyBorder="1" applyAlignment="1">
      <alignment horizontal="center" vertical="center" wrapText="1"/>
    </xf>
    <xf numFmtId="164" fontId="10" fillId="6" borderId="111" xfId="0" applyNumberFormat="1" applyFont="1" applyFill="1" applyBorder="1" applyAlignment="1">
      <alignment horizontal="center" vertical="center" wrapText="1"/>
    </xf>
    <xf numFmtId="0" fontId="10" fillId="14" borderId="126" xfId="0" applyFont="1" applyFill="1" applyBorder="1" applyAlignment="1">
      <alignment horizontal="center" vertical="center" wrapText="1"/>
    </xf>
    <xf numFmtId="164" fontId="10" fillId="14" borderId="119" xfId="0" applyNumberFormat="1" applyFont="1" applyFill="1" applyBorder="1" applyAlignment="1">
      <alignment horizontal="center" vertical="center" wrapText="1"/>
    </xf>
    <xf numFmtId="9" fontId="10" fillId="14" borderId="119" xfId="0" applyNumberFormat="1" applyFont="1" applyFill="1" applyBorder="1" applyAlignment="1">
      <alignment horizontal="center" vertical="center" wrapText="1"/>
    </xf>
    <xf numFmtId="0" fontId="19" fillId="0" borderId="0" xfId="5" applyFont="1" applyAlignment="1">
      <alignment vertical="center"/>
    </xf>
    <xf numFmtId="0" fontId="10" fillId="14" borderId="96" xfId="0" applyFont="1" applyFill="1" applyBorder="1" applyAlignment="1">
      <alignment horizontal="center" vertical="center" wrapText="1"/>
    </xf>
    <xf numFmtId="164" fontId="10" fillId="14" borderId="97" xfId="0" applyNumberFormat="1" applyFont="1" applyFill="1" applyBorder="1" applyAlignment="1">
      <alignment horizontal="center" vertical="center" wrapText="1"/>
    </xf>
    <xf numFmtId="9" fontId="10" fillId="14" borderId="97" xfId="0" applyNumberFormat="1" applyFont="1" applyFill="1" applyBorder="1" applyAlignment="1">
      <alignment horizontal="center" vertical="center" wrapText="1"/>
    </xf>
    <xf numFmtId="0" fontId="14" fillId="0" borderId="0" xfId="5" applyFont="1" applyAlignment="1">
      <alignment vertical="center"/>
    </xf>
    <xf numFmtId="0" fontId="10" fillId="14" borderId="96" xfId="0" applyFont="1" applyFill="1" applyBorder="1" applyAlignment="1">
      <alignment horizontal="center" vertical="center"/>
    </xf>
    <xf numFmtId="164" fontId="10" fillId="14" borderId="97" xfId="0" applyNumberFormat="1" applyFont="1" applyFill="1" applyBorder="1" applyAlignment="1">
      <alignment horizontal="center" vertical="center"/>
    </xf>
    <xf numFmtId="0" fontId="14" fillId="14" borderId="97" xfId="0" applyFont="1" applyFill="1" applyBorder="1" applyAlignment="1">
      <alignment vertical="center"/>
    </xf>
    <xf numFmtId="0" fontId="10" fillId="14" borderId="130" xfId="0" applyFont="1" applyFill="1" applyBorder="1" applyAlignment="1">
      <alignment horizontal="center" vertical="center" wrapText="1"/>
    </xf>
    <xf numFmtId="9" fontId="10" fillId="14" borderId="99" xfId="0" applyNumberFormat="1" applyFont="1" applyFill="1" applyBorder="1" applyAlignment="1">
      <alignment horizontal="center" vertical="center" wrapText="1"/>
    </xf>
    <xf numFmtId="164" fontId="10" fillId="14" borderId="99" xfId="0" applyNumberFormat="1" applyFont="1" applyFill="1" applyBorder="1" applyAlignment="1">
      <alignment horizontal="center" vertical="center" wrapText="1"/>
    </xf>
    <xf numFmtId="0" fontId="13" fillId="6" borderId="110" xfId="0" applyFont="1" applyFill="1" applyBorder="1" applyAlignment="1">
      <alignment vertical="center"/>
    </xf>
    <xf numFmtId="164" fontId="4" fillId="6" borderId="110" xfId="0" applyNumberFormat="1" applyFont="1" applyFill="1" applyBorder="1" applyAlignment="1">
      <alignment horizontal="center" vertical="center" wrapText="1"/>
    </xf>
    <xf numFmtId="164" fontId="14" fillId="6" borderId="110" xfId="5" applyNumberFormat="1" applyFont="1" applyFill="1" applyBorder="1" applyAlignment="1">
      <alignment horizontal="center" vertical="center"/>
    </xf>
    <xf numFmtId="164" fontId="4" fillId="6" borderId="111" xfId="0" applyNumberFormat="1" applyFont="1" applyFill="1" applyBorder="1" applyAlignment="1">
      <alignment horizontal="center" vertical="center" wrapText="1"/>
    </xf>
    <xf numFmtId="164" fontId="4" fillId="6" borderId="97" xfId="0" applyNumberFormat="1" applyFont="1" applyFill="1" applyBorder="1" applyAlignment="1">
      <alignment horizontal="center" vertical="center"/>
    </xf>
    <xf numFmtId="0" fontId="10" fillId="14" borderId="103" xfId="0" applyFont="1" applyFill="1" applyBorder="1" applyAlignment="1">
      <alignment horizontal="center" vertical="center"/>
    </xf>
    <xf numFmtId="0" fontId="4" fillId="6" borderId="97" xfId="0" applyFont="1" applyFill="1" applyBorder="1" applyAlignment="1">
      <alignment horizontal="center" vertical="center" wrapText="1"/>
    </xf>
    <xf numFmtId="0" fontId="13" fillId="6" borderId="97" xfId="0" applyFont="1" applyFill="1" applyBorder="1" applyAlignment="1">
      <alignment vertical="center" wrapText="1"/>
    </xf>
    <xf numFmtId="0" fontId="10" fillId="0" borderId="97" xfId="0" applyFont="1" applyBorder="1" applyAlignment="1">
      <alignment horizontal="center" vertical="center" wrapText="1"/>
    </xf>
    <xf numFmtId="0" fontId="14" fillId="0" borderId="97" xfId="0" applyFont="1" applyBorder="1" applyAlignment="1">
      <alignment vertical="center" wrapText="1"/>
    </xf>
    <xf numFmtId="164" fontId="10" fillId="0" borderId="101" xfId="0" applyNumberFormat="1" applyFont="1" applyBorder="1" applyAlignment="1">
      <alignment horizontal="center" vertical="center"/>
    </xf>
    <xf numFmtId="0" fontId="4" fillId="6" borderId="97" xfId="0" applyFont="1" applyFill="1" applyBorder="1" applyAlignment="1">
      <alignment vertical="center" wrapText="1"/>
    </xf>
    <xf numFmtId="0" fontId="10" fillId="0" borderId="97" xfId="0" applyFont="1" applyBorder="1" applyAlignment="1">
      <alignment vertical="center" wrapText="1"/>
    </xf>
    <xf numFmtId="0" fontId="14" fillId="0" borderId="97" xfId="0" applyFont="1" applyBorder="1" applyAlignment="1">
      <alignment vertical="center"/>
    </xf>
    <xf numFmtId="0" fontId="13" fillId="6" borderId="97" xfId="0" applyFont="1" applyFill="1" applyBorder="1" applyAlignment="1">
      <alignment vertical="center"/>
    </xf>
    <xf numFmtId="164" fontId="4" fillId="6" borderId="101" xfId="0" applyNumberFormat="1" applyFont="1" applyFill="1" applyBorder="1" applyAlignment="1">
      <alignment horizontal="center" vertical="center"/>
    </xf>
    <xf numFmtId="0" fontId="13" fillId="6" borderId="97" xfId="0" applyFont="1" applyFill="1" applyBorder="1" applyAlignment="1">
      <alignment horizontal="center" vertical="center" wrapText="1"/>
    </xf>
    <xf numFmtId="10" fontId="13" fillId="6" borderId="97" xfId="0" applyNumberFormat="1" applyFont="1" applyFill="1" applyBorder="1" applyAlignment="1">
      <alignment horizontal="center" vertical="center"/>
    </xf>
    <xf numFmtId="0" fontId="14" fillId="0" borderId="97" xfId="0" applyFont="1" applyBorder="1" applyAlignment="1">
      <alignment horizontal="center" vertical="center"/>
    </xf>
    <xf numFmtId="0" fontId="14" fillId="0" borderId="97" xfId="0" applyFont="1" applyBorder="1" applyAlignment="1">
      <alignment horizontal="center" vertical="center" wrapText="1"/>
    </xf>
    <xf numFmtId="0" fontId="13" fillId="6" borderId="97" xfId="0" applyFont="1" applyFill="1" applyBorder="1" applyAlignment="1">
      <alignment horizontal="center" vertical="center"/>
    </xf>
    <xf numFmtId="0" fontId="10" fillId="0" borderId="97" xfId="0" applyFont="1" applyBorder="1" applyAlignment="1">
      <alignment horizontal="center" vertical="center"/>
    </xf>
    <xf numFmtId="0" fontId="13" fillId="0" borderId="97" xfId="0" applyFont="1" applyBorder="1" applyAlignment="1">
      <alignment horizontal="center" vertical="center" wrapText="1"/>
    </xf>
    <xf numFmtId="0" fontId="13" fillId="0" borderId="97" xfId="0" applyFont="1" applyBorder="1" applyAlignment="1">
      <alignment vertical="center" wrapText="1"/>
    </xf>
    <xf numFmtId="164" fontId="13" fillId="0" borderId="97" xfId="0" applyNumberFormat="1" applyFont="1" applyBorder="1" applyAlignment="1">
      <alignment horizontal="center" vertical="center" wrapText="1"/>
    </xf>
    <xf numFmtId="0" fontId="9" fillId="0" borderId="97" xfId="0" applyFont="1" applyBorder="1" applyAlignment="1">
      <alignment horizontal="center" vertical="center" wrapText="1"/>
    </xf>
    <xf numFmtId="164" fontId="10" fillId="0" borderId="97" xfId="0" applyNumberFormat="1" applyFont="1" applyBorder="1" applyAlignment="1">
      <alignment horizontal="center" vertical="center" wrapText="1"/>
    </xf>
    <xf numFmtId="0" fontId="8" fillId="0" borderId="97" xfId="0" applyFont="1" applyBorder="1" applyAlignment="1">
      <alignment horizontal="center" vertical="center" wrapText="1"/>
    </xf>
    <xf numFmtId="164" fontId="4" fillId="0" borderId="97" xfId="0" applyNumberFormat="1" applyFont="1" applyBorder="1" applyAlignment="1">
      <alignment horizontal="center" vertical="center" wrapText="1"/>
    </xf>
    <xf numFmtId="0" fontId="4" fillId="0" borderId="97" xfId="0" applyFont="1" applyBorder="1" applyAlignment="1">
      <alignment vertical="center"/>
    </xf>
    <xf numFmtId="0" fontId="8" fillId="0" borderId="97" xfId="0" applyFont="1" applyBorder="1" applyAlignment="1">
      <alignment horizontal="center" vertical="center"/>
    </xf>
    <xf numFmtId="0" fontId="12" fillId="6" borderId="97" xfId="0" applyFont="1" applyFill="1" applyBorder="1" applyAlignment="1">
      <alignment horizontal="center" vertical="center" wrapText="1"/>
    </xf>
    <xf numFmtId="0" fontId="4" fillId="6" borderId="97" xfId="0" applyFont="1" applyFill="1" applyBorder="1" applyAlignment="1">
      <alignment horizontal="right" vertical="center"/>
    </xf>
    <xf numFmtId="165" fontId="13" fillId="0" borderId="97" xfId="0" applyNumberFormat="1" applyFont="1" applyBorder="1" applyAlignment="1">
      <alignment horizontal="center" vertical="center"/>
    </xf>
    <xf numFmtId="0" fontId="9" fillId="0" borderId="97" xfId="0" applyFont="1" applyBorder="1" applyAlignment="1">
      <alignment horizontal="center" vertical="center"/>
    </xf>
    <xf numFmtId="0" fontId="13" fillId="0" borderId="97" xfId="0" applyFont="1" applyBorder="1" applyAlignment="1">
      <alignment horizontal="center" vertical="center"/>
    </xf>
    <xf numFmtId="165" fontId="4" fillId="0" borderId="97" xfId="0" applyNumberFormat="1" applyFont="1" applyBorder="1" applyAlignment="1">
      <alignment horizontal="center" vertical="center"/>
    </xf>
    <xf numFmtId="0" fontId="10" fillId="6" borderId="97" xfId="0" applyFont="1" applyFill="1" applyBorder="1" applyAlignment="1">
      <alignment vertical="center"/>
    </xf>
    <xf numFmtId="0" fontId="10" fillId="0" borderId="97" xfId="0" applyFont="1" applyBorder="1" applyAlignment="1">
      <alignment horizontal="left" vertical="center" wrapText="1"/>
    </xf>
    <xf numFmtId="43" fontId="10" fillId="0" borderId="97" xfId="0" applyNumberFormat="1" applyFont="1" applyBorder="1" applyAlignment="1">
      <alignment horizontal="center" vertical="center"/>
    </xf>
    <xf numFmtId="165" fontId="10" fillId="0" borderId="97" xfId="0" applyNumberFormat="1" applyFont="1" applyBorder="1" applyAlignment="1">
      <alignment horizontal="left" vertical="center" wrapText="1"/>
    </xf>
    <xf numFmtId="165" fontId="10" fillId="0" borderId="97" xfId="0" applyNumberFormat="1" applyFont="1" applyBorder="1" applyAlignment="1">
      <alignment horizontal="center" vertical="center" wrapText="1"/>
    </xf>
    <xf numFmtId="165" fontId="14" fillId="0" borderId="97" xfId="0" applyNumberFormat="1" applyFont="1" applyBorder="1" applyAlignment="1">
      <alignment horizontal="left" vertical="center" wrapText="1"/>
    </xf>
    <xf numFmtId="165" fontId="14" fillId="0" borderId="97" xfId="0" applyNumberFormat="1" applyFont="1" applyBorder="1" applyAlignment="1">
      <alignment horizontal="center" vertical="center" wrapText="1"/>
    </xf>
    <xf numFmtId="165" fontId="14" fillId="0" borderId="97" xfId="0" applyNumberFormat="1" applyFont="1" applyBorder="1" applyAlignment="1">
      <alignment horizontal="center" vertical="center"/>
    </xf>
    <xf numFmtId="43" fontId="14" fillId="0" borderId="97" xfId="0" applyNumberFormat="1" applyFont="1" applyBorder="1" applyAlignment="1">
      <alignment horizontal="center" vertical="center"/>
    </xf>
    <xf numFmtId="165" fontId="14" fillId="0" borderId="97" xfId="0" applyNumberFormat="1" applyFont="1" applyBorder="1" applyAlignment="1">
      <alignment vertical="center" wrapText="1"/>
    </xf>
    <xf numFmtId="165" fontId="10" fillId="0" borderId="97" xfId="0" applyNumberFormat="1" applyFont="1" applyBorder="1" applyAlignment="1">
      <alignment horizontal="center" vertical="center"/>
    </xf>
    <xf numFmtId="0" fontId="38" fillId="0" borderId="0" xfId="5" applyFont="1" applyAlignment="1">
      <alignment vertical="center"/>
    </xf>
    <xf numFmtId="0" fontId="4" fillId="0" borderId="97" xfId="0" applyFont="1" applyBorder="1" applyAlignment="1">
      <alignment vertical="center" wrapText="1"/>
    </xf>
    <xf numFmtId="165" fontId="13" fillId="6" borderId="97" xfId="0" applyNumberFormat="1" applyFont="1" applyFill="1" applyBorder="1" applyAlignment="1">
      <alignment horizontal="center" vertical="center"/>
    </xf>
    <xf numFmtId="165" fontId="4" fillId="6" borderId="97" xfId="0" applyNumberFormat="1" applyFont="1" applyFill="1" applyBorder="1" applyAlignment="1">
      <alignment horizontal="center" vertical="center"/>
    </xf>
    <xf numFmtId="0" fontId="4" fillId="6" borderId="97" xfId="0" applyFont="1" applyFill="1" applyBorder="1" applyAlignment="1">
      <alignment horizontal="center" vertical="center"/>
    </xf>
    <xf numFmtId="0" fontId="9" fillId="3" borderId="62" xfId="0" applyFont="1" applyFill="1" applyBorder="1" applyAlignment="1">
      <alignment vertical="center" wrapText="1"/>
    </xf>
    <xf numFmtId="165" fontId="4" fillId="8" borderId="2" xfId="2" applyNumberFormat="1" applyFont="1" applyFill="1" applyBorder="1" applyAlignment="1" applyProtection="1">
      <alignment horizontal="right" vertical="center"/>
    </xf>
    <xf numFmtId="164" fontId="4" fillId="8" borderId="229" xfId="0" applyNumberFormat="1" applyFont="1" applyFill="1" applyBorder="1" applyAlignment="1">
      <alignment vertical="center"/>
    </xf>
    <xf numFmtId="0" fontId="28" fillId="0" borderId="97" xfId="0" applyFont="1" applyBorder="1" applyAlignment="1">
      <alignment vertical="center" wrapText="1"/>
    </xf>
    <xf numFmtId="164" fontId="33" fillId="6" borderId="97" xfId="0" applyNumberFormat="1" applyFont="1" applyFill="1" applyBorder="1" applyAlignment="1">
      <alignment horizontal="center" vertical="center"/>
    </xf>
    <xf numFmtId="0" fontId="1" fillId="0" borderId="97" xfId="0" applyFont="1" applyBorder="1" applyAlignment="1">
      <alignment vertical="center" wrapText="1"/>
    </xf>
    <xf numFmtId="164" fontId="33" fillId="0" borderId="98" xfId="0" applyNumberFormat="1" applyFont="1" applyBorder="1" applyAlignment="1">
      <alignment horizontal="center" vertical="center"/>
    </xf>
    <xf numFmtId="164" fontId="33" fillId="6" borderId="98" xfId="0" applyNumberFormat="1" applyFont="1" applyFill="1" applyBorder="1" applyAlignment="1">
      <alignment horizontal="center" vertical="center"/>
    </xf>
    <xf numFmtId="43" fontId="1" fillId="6" borderId="110" xfId="0" applyNumberFormat="1" applyFont="1" applyFill="1" applyBorder="1" applyAlignment="1">
      <alignment horizontal="center" vertical="center" wrapText="1"/>
    </xf>
    <xf numFmtId="43" fontId="1" fillId="6" borderId="111" xfId="0" applyNumberFormat="1" applyFont="1" applyFill="1" applyBorder="1" applyAlignment="1">
      <alignment horizontal="center" vertical="center" wrapText="1"/>
    </xf>
    <xf numFmtId="164" fontId="1" fillId="0" borderId="99" xfId="0" applyNumberFormat="1" applyFont="1" applyBorder="1" applyAlignment="1">
      <alignment horizontal="center" vertical="center"/>
    </xf>
    <xf numFmtId="164" fontId="1" fillId="0" borderId="100" xfId="0" applyNumberFormat="1" applyFont="1" applyBorder="1" applyAlignment="1">
      <alignment horizontal="center" vertical="center"/>
    </xf>
    <xf numFmtId="164" fontId="33" fillId="6" borderId="99" xfId="0" applyNumberFormat="1" applyFont="1" applyFill="1" applyBorder="1" applyAlignment="1">
      <alignment horizontal="center" vertical="center"/>
    </xf>
    <xf numFmtId="164" fontId="33" fillId="6" borderId="100" xfId="0" applyNumberFormat="1" applyFont="1" applyFill="1" applyBorder="1" applyAlignment="1">
      <alignment horizontal="center" vertical="center"/>
    </xf>
    <xf numFmtId="0" fontId="1" fillId="0" borderId="119" xfId="0" applyFont="1" applyBorder="1" applyAlignment="1">
      <alignment vertical="center" wrapText="1"/>
    </xf>
    <xf numFmtId="164" fontId="1" fillId="0" borderId="119" xfId="0" applyNumberFormat="1" applyFont="1" applyBorder="1" applyAlignment="1">
      <alignment vertical="center"/>
    </xf>
    <xf numFmtId="164" fontId="33" fillId="0" borderId="120" xfId="0" applyNumberFormat="1" applyFont="1" applyBorder="1" applyAlignment="1">
      <alignment horizontal="center" vertical="center"/>
    </xf>
    <xf numFmtId="164" fontId="1" fillId="0" borderId="97" xfId="0" applyNumberFormat="1" applyFont="1" applyBorder="1" applyAlignment="1" applyProtection="1">
      <alignment vertical="center"/>
      <protection locked="0"/>
    </xf>
    <xf numFmtId="164" fontId="1" fillId="10" borderId="97" xfId="0" applyNumberFormat="1" applyFont="1" applyFill="1" applyBorder="1" applyAlignment="1">
      <alignment horizontal="center" vertical="center"/>
    </xf>
    <xf numFmtId="43" fontId="1" fillId="0" borderId="0" xfId="0" applyNumberFormat="1" applyFont="1" applyAlignment="1">
      <alignment horizontal="left" vertical="center"/>
    </xf>
    <xf numFmtId="165" fontId="13" fillId="6" borderId="110" xfId="0" applyNumberFormat="1" applyFont="1" applyFill="1" applyBorder="1" applyAlignment="1">
      <alignment horizontal="center" vertical="center" wrapText="1"/>
    </xf>
    <xf numFmtId="165" fontId="4" fillId="6" borderId="110" xfId="0" applyNumberFormat="1" applyFont="1" applyFill="1" applyBorder="1" applyAlignment="1">
      <alignment horizontal="center" vertical="center" wrapText="1"/>
    </xf>
    <xf numFmtId="43" fontId="4" fillId="6" borderId="97" xfId="0" applyNumberFormat="1" applyFont="1" applyFill="1" applyBorder="1" applyAlignment="1">
      <alignment horizontal="center" vertical="center" wrapText="1"/>
    </xf>
    <xf numFmtId="43" fontId="10" fillId="0" borderId="97" xfId="0" applyNumberFormat="1" applyFont="1" applyBorder="1" applyAlignment="1">
      <alignment horizontal="center" vertical="center" wrapText="1"/>
    </xf>
    <xf numFmtId="0" fontId="14" fillId="0" borderId="119" xfId="0" applyFont="1" applyBorder="1" applyAlignment="1">
      <alignment vertical="center" wrapText="1"/>
    </xf>
    <xf numFmtId="0" fontId="10" fillId="6" borderId="97" xfId="0" applyFont="1" applyFill="1" applyBorder="1" applyAlignment="1">
      <alignment horizontal="center" vertical="center" wrapText="1"/>
    </xf>
    <xf numFmtId="43" fontId="4" fillId="10" borderId="24" xfId="1" applyFont="1" applyFill="1" applyBorder="1" applyAlignment="1" applyProtection="1">
      <alignment horizontal="right" vertical="center"/>
    </xf>
    <xf numFmtId="0" fontId="8" fillId="10" borderId="24" xfId="0" applyFont="1" applyFill="1" applyBorder="1" applyAlignment="1">
      <alignment horizontal="left" vertical="center" wrapText="1"/>
    </xf>
    <xf numFmtId="0" fontId="13" fillId="10" borderId="24" xfId="0" applyFont="1" applyFill="1" applyBorder="1" applyAlignment="1">
      <alignment horizontal="left" vertical="center" wrapText="1"/>
    </xf>
    <xf numFmtId="0" fontId="4" fillId="10" borderId="0" xfId="0" applyFont="1" applyFill="1" applyAlignment="1">
      <alignment vertical="center" wrapText="1"/>
    </xf>
    <xf numFmtId="43" fontId="4" fillId="10" borderId="24" xfId="1" applyFont="1" applyFill="1" applyBorder="1" applyAlignment="1" applyProtection="1">
      <alignment horizontal="right" vertical="center" wrapText="1"/>
    </xf>
    <xf numFmtId="0" fontId="14" fillId="0" borderId="0" xfId="0" applyFont="1" applyAlignment="1">
      <alignment horizontal="right" vertical="center" wrapText="1"/>
    </xf>
    <xf numFmtId="0" fontId="10" fillId="0" borderId="0" xfId="0" applyFont="1" applyAlignment="1">
      <alignment wrapText="1"/>
    </xf>
    <xf numFmtId="0" fontId="49" fillId="0" borderId="5" xfId="0" applyFont="1" applyBorder="1"/>
    <xf numFmtId="0" fontId="50" fillId="0" borderId="0" xfId="0" applyFont="1"/>
    <xf numFmtId="0" fontId="51" fillId="0" borderId="0" xfId="0" applyFont="1"/>
    <xf numFmtId="0" fontId="52" fillId="0" borderId="0" xfId="0" applyFont="1" applyAlignment="1">
      <alignment horizontal="justify" vertical="center" wrapText="1"/>
    </xf>
    <xf numFmtId="0" fontId="53" fillId="0" borderId="0" xfId="7" applyFont="1"/>
    <xf numFmtId="0" fontId="54" fillId="0" borderId="0" xfId="0" applyFont="1"/>
    <xf numFmtId="0" fontId="15" fillId="0" borderId="29" xfId="0" applyFont="1" applyBorder="1" applyAlignment="1">
      <alignment horizontal="left" vertical="center" wrapText="1" indent="2"/>
    </xf>
    <xf numFmtId="0" fontId="15" fillId="0" borderId="29" xfId="0" applyFont="1" applyBorder="1" applyAlignment="1">
      <alignment horizontal="left" indent="2"/>
    </xf>
    <xf numFmtId="0" fontId="15" fillId="3" borderId="30" xfId="0" applyFont="1" applyFill="1" applyBorder="1" applyAlignment="1">
      <alignment horizontal="left" vertical="center" wrapText="1" indent="2"/>
    </xf>
    <xf numFmtId="0" fontId="15" fillId="3" borderId="18" xfId="0" applyFont="1" applyFill="1" applyBorder="1" applyAlignment="1">
      <alignment horizontal="left" vertical="center" wrapText="1" indent="2"/>
    </xf>
    <xf numFmtId="0" fontId="15" fillId="0" borderId="30" xfId="0" applyFont="1" applyBorder="1" applyAlignment="1">
      <alignment horizontal="left" vertical="center" wrapText="1" indent="2"/>
    </xf>
    <xf numFmtId="0" fontId="15" fillId="0" borderId="12" xfId="0" applyFont="1" applyBorder="1" applyAlignment="1">
      <alignment horizontal="left" vertical="center" wrapText="1" indent="2"/>
    </xf>
    <xf numFmtId="0" fontId="15" fillId="3" borderId="18" xfId="0" applyFont="1" applyFill="1" applyBorder="1" applyAlignment="1">
      <alignment horizontal="left" vertical="center" wrapText="1" indent="6"/>
    </xf>
    <xf numFmtId="0" fontId="15" fillId="3" borderId="12" xfId="0" applyFont="1" applyFill="1" applyBorder="1" applyAlignment="1">
      <alignment horizontal="left" vertical="center" wrapText="1" indent="6"/>
    </xf>
    <xf numFmtId="0" fontId="15" fillId="3" borderId="12" xfId="0" applyFont="1" applyFill="1" applyBorder="1" applyAlignment="1">
      <alignment horizontal="left" vertical="center" wrapText="1" indent="2"/>
    </xf>
    <xf numFmtId="0" fontId="15" fillId="3" borderId="29" xfId="0" applyFont="1" applyFill="1" applyBorder="1" applyAlignment="1">
      <alignment horizontal="left" vertical="center" wrapText="1" indent="2"/>
    </xf>
    <xf numFmtId="0" fontId="25" fillId="0" borderId="12" xfId="0" applyFont="1" applyBorder="1" applyAlignment="1">
      <alignment horizontal="left" vertical="center" wrapText="1" indent="2"/>
    </xf>
    <xf numFmtId="43" fontId="7" fillId="0" borderId="0" xfId="1" applyFont="1" applyProtection="1"/>
    <xf numFmtId="43" fontId="4" fillId="9" borderId="2" xfId="1" applyFont="1" applyFill="1" applyBorder="1" applyAlignment="1" applyProtection="1">
      <alignment horizontal="center"/>
    </xf>
    <xf numFmtId="43" fontId="4" fillId="2" borderId="5" xfId="1" applyFont="1" applyFill="1" applyBorder="1" applyProtection="1"/>
    <xf numFmtId="43" fontId="4" fillId="9" borderId="5" xfId="1" applyFont="1" applyFill="1" applyBorder="1" applyProtection="1"/>
    <xf numFmtId="43" fontId="10" fillId="0" borderId="11" xfId="1" applyFont="1" applyBorder="1" applyProtection="1">
      <protection locked="0"/>
    </xf>
    <xf numFmtId="43" fontId="10" fillId="0" borderId="12" xfId="1" applyFont="1" applyBorder="1" applyProtection="1">
      <protection locked="0"/>
    </xf>
    <xf numFmtId="43" fontId="4" fillId="6" borderId="5" xfId="1" applyFont="1" applyFill="1" applyBorder="1" applyProtection="1"/>
    <xf numFmtId="43" fontId="4" fillId="10" borderId="5" xfId="1" applyFont="1" applyFill="1" applyBorder="1" applyProtection="1"/>
    <xf numFmtId="43" fontId="10" fillId="0" borderId="2" xfId="1" applyFont="1" applyBorder="1" applyProtection="1">
      <protection locked="0"/>
    </xf>
    <xf numFmtId="43" fontId="10" fillId="0" borderId="5" xfId="1" applyFont="1" applyBorder="1" applyProtection="1">
      <protection locked="0"/>
    </xf>
    <xf numFmtId="43" fontId="10" fillId="0" borderId="24" xfId="1" applyFont="1" applyBorder="1" applyProtection="1">
      <protection locked="0"/>
    </xf>
    <xf numFmtId="43" fontId="19" fillId="6" borderId="5" xfId="1" applyFont="1" applyFill="1" applyBorder="1" applyProtection="1"/>
    <xf numFmtId="43" fontId="10" fillId="0" borderId="14" xfId="1" applyFont="1" applyBorder="1" applyProtection="1">
      <protection locked="0"/>
    </xf>
    <xf numFmtId="43" fontId="4" fillId="6" borderId="14" xfId="1" applyFont="1" applyFill="1" applyBorder="1" applyProtection="1"/>
    <xf numFmtId="43" fontId="10" fillId="0" borderId="30" xfId="1" applyFont="1" applyBorder="1" applyProtection="1">
      <protection locked="0"/>
    </xf>
    <xf numFmtId="43" fontId="10" fillId="0" borderId="29" xfId="1" applyFont="1" applyBorder="1" applyProtection="1">
      <protection locked="0"/>
    </xf>
    <xf numFmtId="43" fontId="9" fillId="0" borderId="29" xfId="1" applyFont="1" applyBorder="1" applyAlignment="1" applyProtection="1">
      <alignment vertical="center" wrapText="1"/>
      <protection locked="0"/>
    </xf>
    <xf numFmtId="43" fontId="10" fillId="0" borderId="18" xfId="1" applyFont="1" applyBorder="1" applyProtection="1">
      <protection locked="0"/>
    </xf>
    <xf numFmtId="43" fontId="10" fillId="0" borderId="2" xfId="1" applyFont="1" applyFill="1" applyBorder="1" applyProtection="1">
      <protection locked="0"/>
    </xf>
    <xf numFmtId="43" fontId="10" fillId="6" borderId="5" xfId="1" applyFont="1" applyFill="1" applyBorder="1" applyProtection="1"/>
    <xf numFmtId="43" fontId="10" fillId="0" borderId="11" xfId="1" applyFont="1" applyFill="1" applyBorder="1" applyProtection="1">
      <protection locked="0"/>
    </xf>
    <xf numFmtId="43" fontId="13" fillId="9" borderId="5" xfId="1" applyFont="1" applyFill="1" applyBorder="1" applyProtection="1"/>
    <xf numFmtId="43" fontId="10" fillId="0" borderId="30" xfId="1" applyFont="1" applyFill="1" applyBorder="1" applyProtection="1">
      <protection locked="0"/>
    </xf>
    <xf numFmtId="43" fontId="4" fillId="10" borderId="14" xfId="1" applyFont="1" applyFill="1" applyBorder="1" applyProtection="1"/>
    <xf numFmtId="43" fontId="13" fillId="6" borderId="5" xfId="1" applyFont="1" applyFill="1" applyBorder="1" applyAlignment="1" applyProtection="1"/>
    <xf numFmtId="43" fontId="6" fillId="0" borderId="0" xfId="1" applyFont="1" applyAlignment="1" applyProtection="1">
      <alignment horizontal="right" vertical="center"/>
    </xf>
    <xf numFmtId="43" fontId="4" fillId="9" borderId="3" xfId="1" applyFont="1" applyFill="1" applyBorder="1" applyAlignment="1" applyProtection="1">
      <alignment horizontal="center"/>
    </xf>
    <xf numFmtId="43" fontId="4" fillId="2" borderId="6" xfId="1" applyFont="1" applyFill="1" applyBorder="1" applyProtection="1"/>
    <xf numFmtId="43" fontId="4" fillId="9" borderId="6" xfId="1" applyFont="1" applyFill="1" applyBorder="1" applyProtection="1"/>
    <xf numFmtId="43" fontId="4" fillId="6" borderId="6" xfId="1" applyFont="1" applyFill="1" applyBorder="1" applyProtection="1"/>
    <xf numFmtId="43" fontId="10" fillId="0" borderId="3" xfId="1" applyFont="1" applyBorder="1" applyProtection="1">
      <protection locked="0"/>
    </xf>
    <xf numFmtId="43" fontId="10" fillId="0" borderId="15" xfId="1" applyFont="1" applyBorder="1" applyProtection="1">
      <protection locked="0"/>
    </xf>
    <xf numFmtId="43" fontId="10" fillId="0" borderId="17" xfId="1" applyFont="1" applyBorder="1" applyProtection="1">
      <protection locked="0"/>
    </xf>
    <xf numFmtId="43" fontId="10" fillId="0" borderId="19" xfId="1" applyFont="1" applyBorder="1" applyProtection="1">
      <protection locked="0"/>
    </xf>
    <xf numFmtId="43" fontId="10" fillId="0" borderId="21" xfId="1" applyFont="1" applyBorder="1" applyProtection="1">
      <protection locked="0"/>
    </xf>
    <xf numFmtId="43" fontId="4" fillId="6" borderId="3" xfId="1" applyFont="1" applyFill="1" applyBorder="1" applyProtection="1"/>
    <xf numFmtId="43" fontId="10" fillId="0" borderId="28" xfId="1" applyFont="1" applyBorder="1" applyProtection="1">
      <protection locked="0"/>
    </xf>
    <xf numFmtId="43" fontId="10" fillId="0" borderId="31" xfId="1" applyFont="1" applyBorder="1" applyProtection="1">
      <protection locked="0"/>
    </xf>
    <xf numFmtId="43" fontId="10" fillId="0" borderId="6" xfId="1" applyFont="1" applyBorder="1" applyProtection="1">
      <protection locked="0"/>
    </xf>
    <xf numFmtId="43" fontId="4" fillId="6" borderId="32" xfId="1" applyFont="1" applyFill="1" applyBorder="1" applyProtection="1"/>
    <xf numFmtId="43" fontId="10" fillId="0" borderId="32" xfId="1" applyFont="1" applyFill="1" applyBorder="1" applyProtection="1">
      <protection locked="0"/>
    </xf>
    <xf numFmtId="43" fontId="10" fillId="0" borderId="32" xfId="1" applyFont="1" applyBorder="1" applyProtection="1">
      <protection locked="0"/>
    </xf>
    <xf numFmtId="43" fontId="10" fillId="0" borderId="6" xfId="1" applyFont="1" applyFill="1" applyBorder="1" applyProtection="1">
      <protection locked="0"/>
    </xf>
    <xf numFmtId="43" fontId="10" fillId="0" borderId="15" xfId="1" applyFont="1" applyFill="1" applyBorder="1" applyProtection="1">
      <protection locked="0"/>
    </xf>
    <xf numFmtId="43" fontId="4" fillId="10" borderId="6" xfId="1" applyFont="1" applyFill="1" applyBorder="1" applyProtection="1"/>
    <xf numFmtId="43" fontId="4" fillId="10" borderId="3" xfId="1" applyFont="1" applyFill="1" applyBorder="1" applyProtection="1"/>
    <xf numFmtId="43" fontId="4" fillId="6" borderId="15" xfId="1" applyFont="1" applyFill="1" applyBorder="1" applyProtection="1"/>
    <xf numFmtId="43" fontId="10" fillId="0" borderId="31" xfId="1" applyFont="1" applyBorder="1" applyProtection="1"/>
    <xf numFmtId="43" fontId="10" fillId="0" borderId="3" xfId="1" applyFont="1" applyFill="1" applyBorder="1" applyProtection="1">
      <protection locked="0"/>
    </xf>
    <xf numFmtId="43" fontId="3" fillId="0" borderId="32" xfId="1" applyFont="1" applyBorder="1" applyProtection="1"/>
    <xf numFmtId="43" fontId="10" fillId="0" borderId="32" xfId="1" applyFont="1" applyBorder="1" applyProtection="1"/>
    <xf numFmtId="43" fontId="10" fillId="0" borderId="39" xfId="1" applyFont="1" applyBorder="1" applyAlignment="1" applyProtection="1"/>
    <xf numFmtId="43" fontId="10" fillId="0" borderId="41" xfId="1" applyFont="1" applyBorder="1" applyAlignment="1" applyProtection="1"/>
    <xf numFmtId="0" fontId="8" fillId="9" borderId="5" xfId="0" applyFont="1" applyFill="1" applyBorder="1" applyAlignment="1">
      <alignment horizontal="center" vertical="center" wrapText="1"/>
    </xf>
    <xf numFmtId="43" fontId="4" fillId="9" borderId="6" xfId="1" applyFont="1" applyFill="1" applyBorder="1" applyAlignment="1" applyProtection="1">
      <alignment horizontal="center"/>
    </xf>
    <xf numFmtId="43" fontId="3" fillId="0" borderId="0" xfId="1" applyFont="1" applyProtection="1"/>
    <xf numFmtId="0" fontId="10" fillId="7" borderId="0" xfId="0" applyFont="1" applyFill="1" applyAlignment="1">
      <alignment vertical="center" wrapText="1"/>
    </xf>
    <xf numFmtId="43" fontId="15" fillId="0" borderId="0" xfId="1" applyFont="1" applyAlignment="1" applyProtection="1">
      <alignment horizontal="right" vertical="center"/>
    </xf>
    <xf numFmtId="0" fontId="16" fillId="0" borderId="0" xfId="0" applyFont="1" applyAlignment="1">
      <alignment horizontal="right" vertical="center"/>
    </xf>
    <xf numFmtId="43" fontId="17" fillId="0" borderId="0" xfId="1" applyFont="1" applyAlignment="1" applyProtection="1">
      <alignment horizontal="right" vertical="center"/>
    </xf>
    <xf numFmtId="0" fontId="18" fillId="0" borderId="0" xfId="0" applyFont="1" applyAlignment="1">
      <alignment horizontal="right" vertical="center"/>
    </xf>
    <xf numFmtId="43" fontId="10" fillId="0" borderId="0" xfId="1" applyFont="1" applyAlignment="1" applyProtection="1">
      <alignment horizontal="right" vertical="center"/>
    </xf>
    <xf numFmtId="0" fontId="3" fillId="0" borderId="34" xfId="0" applyFont="1" applyBorder="1"/>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0" fontId="10" fillId="14" borderId="119" xfId="0" applyFont="1" applyFill="1" applyBorder="1" applyAlignment="1">
      <alignment vertical="center" wrapText="1"/>
    </xf>
    <xf numFmtId="0" fontId="14" fillId="0" borderId="0" xfId="0" applyFont="1" applyAlignment="1">
      <alignment horizontal="center" vertical="center"/>
    </xf>
    <xf numFmtId="165" fontId="10" fillId="0" borderId="97" xfId="0" applyNumberFormat="1" applyFont="1" applyBorder="1" applyAlignment="1">
      <alignment vertical="center" wrapText="1"/>
    </xf>
    <xf numFmtId="0" fontId="10" fillId="6" borderId="166" xfId="1" applyNumberFormat="1" applyFont="1" applyFill="1" applyBorder="1" applyAlignment="1" applyProtection="1">
      <alignment horizontal="center" vertical="center" wrapText="1"/>
    </xf>
    <xf numFmtId="0" fontId="10" fillId="6" borderId="154" xfId="0" applyFont="1" applyFill="1" applyBorder="1" applyAlignment="1">
      <alignment horizontal="center" vertical="center" wrapText="1"/>
    </xf>
    <xf numFmtId="0" fontId="10" fillId="6" borderId="178" xfId="0" applyFont="1" applyFill="1" applyBorder="1" applyAlignment="1">
      <alignment horizontal="center" vertical="center" wrapText="1"/>
    </xf>
    <xf numFmtId="0" fontId="10" fillId="6" borderId="166" xfId="0" applyFont="1" applyFill="1" applyBorder="1" applyAlignment="1">
      <alignment horizontal="center" vertical="center" wrapText="1"/>
    </xf>
    <xf numFmtId="0" fontId="10" fillId="6" borderId="178" xfId="2" applyNumberFormat="1" applyFont="1" applyFill="1" applyBorder="1" applyAlignment="1" applyProtection="1">
      <alignment horizontal="center" vertical="center" wrapText="1"/>
    </xf>
    <xf numFmtId="0" fontId="10" fillId="6" borderId="178" xfId="1" applyNumberFormat="1" applyFont="1" applyFill="1" applyBorder="1" applyAlignment="1" applyProtection="1">
      <alignment horizontal="center" vertical="center" wrapText="1"/>
    </xf>
    <xf numFmtId="1" fontId="10" fillId="6" borderId="178" xfId="0" applyNumberFormat="1" applyFont="1" applyFill="1" applyBorder="1" applyAlignment="1">
      <alignment horizontal="center" vertical="center" wrapText="1"/>
    </xf>
    <xf numFmtId="0" fontId="6" fillId="6" borderId="214" xfId="0" applyFont="1" applyFill="1" applyBorder="1" applyAlignment="1">
      <alignment vertical="center" wrapText="1"/>
    </xf>
    <xf numFmtId="0" fontId="6" fillId="0" borderId="159" xfId="0" applyFont="1" applyBorder="1" applyAlignment="1">
      <alignment vertical="center" wrapText="1"/>
    </xf>
    <xf numFmtId="0" fontId="6" fillId="0" borderId="137" xfId="0" applyFont="1" applyBorder="1" applyAlignment="1">
      <alignment vertical="center" wrapText="1"/>
    </xf>
    <xf numFmtId="0" fontId="6" fillId="6" borderId="213" xfId="0" applyFont="1" applyFill="1" applyBorder="1" applyAlignment="1">
      <alignment horizontal="left" vertical="center" wrapText="1"/>
    </xf>
    <xf numFmtId="0" fontId="6" fillId="6" borderId="213" xfId="0" applyFont="1" applyFill="1" applyBorder="1" applyAlignment="1">
      <alignment vertical="center" wrapText="1"/>
    </xf>
    <xf numFmtId="0" fontId="2" fillId="0" borderId="159" xfId="0" applyFont="1" applyBorder="1" applyAlignment="1">
      <alignment vertical="center" wrapText="1"/>
    </xf>
    <xf numFmtId="0" fontId="2" fillId="0" borderId="137" xfId="0" applyFont="1" applyBorder="1" applyAlignment="1">
      <alignment vertical="center" wrapText="1"/>
    </xf>
    <xf numFmtId="0" fontId="10" fillId="6" borderId="154" xfId="2" applyNumberFormat="1" applyFont="1" applyFill="1" applyBorder="1" applyAlignment="1" applyProtection="1">
      <alignment horizontal="center" vertical="center" wrapText="1"/>
    </xf>
    <xf numFmtId="0" fontId="10" fillId="6" borderId="155" xfId="2" applyNumberFormat="1" applyFont="1" applyFill="1" applyBorder="1" applyAlignment="1" applyProtection="1">
      <alignment horizontal="center" vertical="center" wrapText="1"/>
    </xf>
    <xf numFmtId="1" fontId="14" fillId="6" borderId="154" xfId="0" applyNumberFormat="1" applyFont="1" applyFill="1" applyBorder="1" applyAlignment="1">
      <alignment horizontal="center" vertical="center" wrapText="1"/>
    </xf>
    <xf numFmtId="0" fontId="2" fillId="0" borderId="160" xfId="0" applyFont="1" applyBorder="1" applyAlignment="1">
      <alignment vertical="center" wrapText="1"/>
    </xf>
    <xf numFmtId="0" fontId="24" fillId="0" borderId="0" xfId="0" applyFont="1" applyAlignment="1">
      <alignment horizontal="center"/>
    </xf>
    <xf numFmtId="164" fontId="0" fillId="0" borderId="0" xfId="0" applyNumberFormat="1" applyAlignment="1">
      <alignment horizontal="center" vertical="center"/>
    </xf>
    <xf numFmtId="172" fontId="0" fillId="0" borderId="0" xfId="1" applyNumberFormat="1" applyFont="1" applyFill="1" applyBorder="1" applyAlignment="1" applyProtection="1">
      <alignment horizontal="center" vertical="center"/>
    </xf>
    <xf numFmtId="0" fontId="1" fillId="0" borderId="0" xfId="0" applyFont="1" applyAlignment="1">
      <alignment horizontal="center" vertical="center"/>
    </xf>
    <xf numFmtId="43" fontId="1" fillId="19" borderId="97" xfId="0" applyNumberFormat="1" applyFont="1" applyFill="1" applyBorder="1" applyAlignment="1">
      <alignment horizontal="center" vertical="center"/>
    </xf>
    <xf numFmtId="10" fontId="1" fillId="19" borderId="97" xfId="0" applyNumberFormat="1" applyFont="1" applyFill="1" applyBorder="1" applyAlignment="1">
      <alignment horizontal="center" vertical="center"/>
    </xf>
    <xf numFmtId="10" fontId="28" fillId="6" borderId="97" xfId="0" applyNumberFormat="1" applyFont="1" applyFill="1" applyBorder="1" applyAlignment="1">
      <alignment horizontal="center"/>
    </xf>
    <xf numFmtId="10" fontId="28" fillId="6" borderId="98" xfId="0" applyNumberFormat="1" applyFont="1" applyFill="1" applyBorder="1" applyAlignment="1">
      <alignment horizontal="center"/>
    </xf>
    <xf numFmtId="10" fontId="1" fillId="0" borderId="232" xfId="0" applyNumberFormat="1" applyFont="1" applyBorder="1" applyAlignment="1" applyProtection="1">
      <alignment horizontal="center" vertical="center"/>
      <protection locked="0"/>
    </xf>
    <xf numFmtId="0" fontId="1" fillId="0" borderId="231" xfId="0" applyFont="1" applyBorder="1" applyAlignment="1">
      <alignment horizontal="center" vertical="center"/>
    </xf>
    <xf numFmtId="10" fontId="1" fillId="0" borderId="235" xfId="0" applyNumberFormat="1" applyFont="1" applyBorder="1" applyAlignment="1" applyProtection="1">
      <alignment horizontal="center" vertical="center"/>
      <protection locked="0"/>
    </xf>
    <xf numFmtId="10" fontId="1" fillId="0" borderId="238" xfId="0" applyNumberFormat="1" applyFont="1" applyBorder="1" applyAlignment="1" applyProtection="1">
      <alignment horizontal="center" vertical="center"/>
      <protection locked="0"/>
    </xf>
    <xf numFmtId="0" fontId="1" fillId="0" borderId="234" xfId="0" applyFont="1" applyBorder="1" applyAlignment="1">
      <alignment horizontal="center" vertical="center"/>
    </xf>
    <xf numFmtId="0" fontId="1" fillId="0" borderId="237" xfId="0" applyFont="1" applyBorder="1" applyAlignment="1">
      <alignment horizontal="center" vertical="center"/>
    </xf>
    <xf numFmtId="43" fontId="1" fillId="0" borderId="239" xfId="0" applyNumberFormat="1" applyFont="1" applyBorder="1" applyAlignment="1" applyProtection="1">
      <alignment horizontal="center" vertical="center"/>
      <protection locked="0"/>
    </xf>
    <xf numFmtId="43" fontId="1" fillId="0" borderId="240" xfId="0" applyNumberFormat="1" applyFont="1" applyBorder="1" applyAlignment="1" applyProtection="1">
      <alignment horizontal="center" vertical="center"/>
      <protection locked="0"/>
    </xf>
    <xf numFmtId="43" fontId="1" fillId="0" borderId="236" xfId="0" applyNumberFormat="1" applyFont="1" applyBorder="1" applyAlignment="1" applyProtection="1">
      <alignment horizontal="center" vertical="center"/>
      <protection locked="0"/>
    </xf>
    <xf numFmtId="41" fontId="1" fillId="0" borderId="245" xfId="1" applyNumberFormat="1" applyFont="1" applyBorder="1" applyAlignment="1" applyProtection="1">
      <alignment horizontal="center" vertical="center"/>
      <protection locked="0"/>
    </xf>
    <xf numFmtId="41" fontId="1" fillId="0" borderId="243" xfId="1" applyNumberFormat="1" applyFont="1" applyBorder="1" applyAlignment="1" applyProtection="1">
      <alignment horizontal="center" vertical="center"/>
      <protection locked="0"/>
    </xf>
    <xf numFmtId="41" fontId="1" fillId="0" borderId="241" xfId="1" applyNumberFormat="1" applyFont="1" applyBorder="1" applyAlignment="1" applyProtection="1">
      <alignment horizontal="center" vertical="center"/>
      <protection locked="0"/>
    </xf>
    <xf numFmtId="41" fontId="1" fillId="0" borderId="243" xfId="1" applyNumberFormat="1" applyFont="1" applyFill="1" applyBorder="1" applyAlignment="1" applyProtection="1">
      <alignment horizontal="center" vertical="center"/>
      <protection locked="0"/>
    </xf>
    <xf numFmtId="41" fontId="1" fillId="0" borderId="241" xfId="1" applyNumberFormat="1" applyFont="1" applyFill="1" applyBorder="1" applyAlignment="1" applyProtection="1">
      <alignment horizontal="center" vertical="center"/>
      <protection locked="0"/>
    </xf>
    <xf numFmtId="43" fontId="1" fillId="0" borderId="240" xfId="0" applyNumberFormat="1" applyFont="1" applyBorder="1" applyAlignment="1">
      <alignment horizontal="center" vertical="center"/>
    </xf>
    <xf numFmtId="43" fontId="1" fillId="0" borderId="236" xfId="0" applyNumberFormat="1" applyFont="1" applyBorder="1" applyAlignment="1">
      <alignment horizontal="center" vertical="center"/>
    </xf>
    <xf numFmtId="43" fontId="1" fillId="0" borderId="239" xfId="0" applyNumberFormat="1" applyFont="1" applyBorder="1" applyAlignment="1">
      <alignment horizontal="center" vertical="center"/>
    </xf>
    <xf numFmtId="10" fontId="1" fillId="0" borderId="244" xfId="0" applyNumberFormat="1" applyFont="1" applyBorder="1" applyAlignment="1" applyProtection="1">
      <alignment horizontal="center" vertical="center"/>
      <protection locked="0"/>
    </xf>
    <xf numFmtId="10" fontId="1" fillId="0" borderId="246" xfId="0" applyNumberFormat="1" applyFont="1" applyBorder="1" applyAlignment="1" applyProtection="1">
      <alignment horizontal="center" vertical="center"/>
      <protection locked="0"/>
    </xf>
    <xf numFmtId="10" fontId="1" fillId="0" borderId="247" xfId="0" applyNumberFormat="1" applyFont="1" applyBorder="1" applyAlignment="1" applyProtection="1">
      <alignment horizontal="center" vertical="center"/>
      <protection locked="0"/>
    </xf>
    <xf numFmtId="43" fontId="1" fillId="0" borderId="244" xfId="0" applyNumberFormat="1" applyFont="1" applyBorder="1" applyAlignment="1">
      <alignment horizontal="center" vertical="center"/>
    </xf>
    <xf numFmtId="43" fontId="1" fillId="0" borderId="246" xfId="0" applyNumberFormat="1" applyFont="1" applyBorder="1" applyAlignment="1">
      <alignment horizontal="center" vertical="center"/>
    </xf>
    <xf numFmtId="43" fontId="1" fillId="0" borderId="248" xfId="0" applyNumberFormat="1" applyFont="1" applyBorder="1" applyAlignment="1">
      <alignment horizontal="center" vertical="center"/>
    </xf>
    <xf numFmtId="41" fontId="1" fillId="0" borderId="249" xfId="1" applyNumberFormat="1" applyFont="1" applyBorder="1" applyAlignment="1" applyProtection="1">
      <alignment horizontal="center" vertical="center"/>
      <protection locked="0"/>
    </xf>
    <xf numFmtId="10" fontId="1" fillId="0" borderId="240" xfId="0" applyNumberFormat="1" applyFont="1" applyBorder="1" applyAlignment="1" applyProtection="1">
      <alignment horizontal="center" vertical="center"/>
      <protection locked="0"/>
    </xf>
    <xf numFmtId="10" fontId="1" fillId="0" borderId="236" xfId="0" applyNumberFormat="1" applyFont="1" applyBorder="1" applyAlignment="1" applyProtection="1">
      <alignment horizontal="center" vertical="center"/>
      <protection locked="0"/>
    </xf>
    <xf numFmtId="10" fontId="1" fillId="0" borderId="239" xfId="0" applyNumberFormat="1" applyFont="1" applyBorder="1" applyAlignment="1" applyProtection="1">
      <alignment horizontal="center" vertical="center"/>
      <protection locked="0"/>
    </xf>
    <xf numFmtId="41" fontId="1" fillId="0" borderId="245" xfId="1" applyNumberFormat="1" applyFont="1" applyFill="1" applyBorder="1" applyAlignment="1" applyProtection="1">
      <alignment horizontal="center" vertical="center"/>
    </xf>
    <xf numFmtId="41" fontId="1" fillId="0" borderId="243" xfId="1" applyNumberFormat="1" applyFont="1" applyFill="1" applyBorder="1" applyAlignment="1" applyProtection="1">
      <alignment horizontal="center" vertical="center"/>
    </xf>
    <xf numFmtId="41" fontId="1" fillId="0" borderId="241" xfId="1" applyNumberFormat="1" applyFont="1" applyFill="1" applyBorder="1" applyAlignment="1" applyProtection="1">
      <alignment horizontal="center" vertical="center"/>
    </xf>
    <xf numFmtId="0" fontId="1" fillId="0" borderId="253" xfId="0" applyFont="1" applyBorder="1" applyAlignment="1">
      <alignment horizontal="center" vertical="center"/>
    </xf>
    <xf numFmtId="0" fontId="1" fillId="0" borderId="254" xfId="0" applyFont="1" applyBorder="1" applyAlignment="1">
      <alignment horizontal="center" vertical="center"/>
    </xf>
    <xf numFmtId="0" fontId="1" fillId="0" borderId="255" xfId="0" applyFont="1" applyBorder="1" applyAlignment="1">
      <alignment horizontal="center" vertical="center"/>
    </xf>
    <xf numFmtId="43" fontId="1" fillId="0" borderId="257" xfId="0" applyNumberFormat="1" applyFont="1" applyBorder="1" applyAlignment="1">
      <alignment horizontal="center" vertical="center"/>
    </xf>
    <xf numFmtId="43" fontId="1" fillId="0" borderId="251" xfId="0" applyNumberFormat="1" applyFont="1" applyBorder="1" applyAlignment="1">
      <alignment horizontal="center" vertical="center"/>
    </xf>
    <xf numFmtId="43" fontId="1" fillId="0" borderId="252" xfId="0" applyNumberFormat="1" applyFont="1" applyBorder="1" applyAlignment="1">
      <alignment horizontal="center" vertical="center"/>
    </xf>
    <xf numFmtId="10" fontId="1" fillId="0" borderId="257" xfId="0" applyNumberFormat="1" applyFont="1" applyBorder="1" applyAlignment="1" applyProtection="1">
      <alignment horizontal="center" vertical="center"/>
      <protection locked="0"/>
    </xf>
    <xf numFmtId="10" fontId="1" fillId="0" borderId="251" xfId="0" applyNumberFormat="1" applyFont="1" applyBorder="1" applyAlignment="1" applyProtection="1">
      <alignment horizontal="center" vertical="center"/>
      <protection locked="0"/>
    </xf>
    <xf numFmtId="10" fontId="1" fillId="0" borderId="252" xfId="0" applyNumberFormat="1" applyFont="1" applyBorder="1" applyAlignment="1" applyProtection="1">
      <alignment horizontal="center" vertical="center"/>
      <protection locked="0"/>
    </xf>
    <xf numFmtId="41" fontId="1" fillId="0" borderId="249" xfId="1" applyNumberFormat="1" applyFont="1" applyFill="1" applyBorder="1" applyAlignment="1" applyProtection="1">
      <alignment horizontal="center" vertical="center"/>
      <protection locked="0"/>
    </xf>
    <xf numFmtId="172" fontId="1" fillId="0" borderId="245" xfId="1" applyNumberFormat="1" applyFont="1" applyFill="1" applyBorder="1" applyAlignment="1" applyProtection="1">
      <alignment horizontal="center" vertical="center"/>
      <protection locked="0"/>
    </xf>
    <xf numFmtId="172" fontId="1" fillId="0" borderId="243" xfId="1" applyNumberFormat="1" applyFont="1" applyFill="1" applyBorder="1" applyAlignment="1" applyProtection="1">
      <alignment horizontal="center" vertical="center"/>
      <protection locked="0"/>
    </xf>
    <xf numFmtId="172" fontId="1" fillId="0" borderId="249" xfId="1" applyNumberFormat="1" applyFont="1" applyFill="1" applyBorder="1" applyAlignment="1" applyProtection="1">
      <alignment horizontal="center" vertical="center"/>
      <protection locked="0"/>
    </xf>
    <xf numFmtId="10" fontId="1" fillId="0" borderId="248" xfId="0" applyNumberFormat="1" applyFont="1" applyBorder="1" applyAlignment="1" applyProtection="1">
      <alignment horizontal="center" vertical="center"/>
      <protection locked="0"/>
    </xf>
    <xf numFmtId="10" fontId="1" fillId="0" borderId="258" xfId="0" applyNumberFormat="1" applyFont="1" applyBorder="1" applyAlignment="1" applyProtection="1">
      <alignment horizontal="center" vertical="center"/>
      <protection locked="0"/>
    </xf>
    <xf numFmtId="43" fontId="1" fillId="0" borderId="247" xfId="0" applyNumberFormat="1" applyFont="1" applyBorder="1" applyAlignment="1">
      <alignment horizontal="center" vertical="center"/>
    </xf>
    <xf numFmtId="43" fontId="1" fillId="19" borderId="127" xfId="0" applyNumberFormat="1" applyFont="1" applyFill="1" applyBorder="1" applyAlignment="1">
      <alignment horizontal="center" vertical="center"/>
    </xf>
    <xf numFmtId="41" fontId="1" fillId="19" borderId="230" xfId="1" applyNumberFormat="1" applyFont="1" applyFill="1" applyBorder="1" applyAlignment="1" applyProtection="1">
      <alignment horizontal="center" vertical="center"/>
    </xf>
    <xf numFmtId="41" fontId="1" fillId="19" borderId="101" xfId="1" applyNumberFormat="1" applyFont="1" applyFill="1" applyBorder="1" applyAlignment="1" applyProtection="1">
      <alignment horizontal="center" vertical="center"/>
    </xf>
    <xf numFmtId="43" fontId="1" fillId="19" borderId="259" xfId="0" applyNumberFormat="1" applyFont="1" applyFill="1" applyBorder="1" applyAlignment="1">
      <alignment horizontal="center" vertical="center"/>
    </xf>
    <xf numFmtId="164" fontId="1" fillId="19" borderId="127" xfId="0" applyNumberFormat="1" applyFont="1" applyFill="1" applyBorder="1" applyAlignment="1">
      <alignment horizontal="center" vertical="center"/>
    </xf>
    <xf numFmtId="164" fontId="1" fillId="19" borderId="259" xfId="0" applyNumberFormat="1" applyFont="1" applyFill="1" applyBorder="1" applyAlignment="1">
      <alignment horizontal="center" vertical="center"/>
    </xf>
    <xf numFmtId="0" fontId="1" fillId="24" borderId="97" xfId="0" applyFont="1" applyFill="1" applyBorder="1" applyAlignment="1">
      <alignment horizontal="center" vertical="center" wrapText="1"/>
    </xf>
    <xf numFmtId="171" fontId="1" fillId="24" borderId="101" xfId="0" applyNumberFormat="1" applyFont="1" applyFill="1" applyBorder="1" applyAlignment="1">
      <alignment horizontal="center" vertical="center" wrapText="1"/>
    </xf>
    <xf numFmtId="0" fontId="1" fillId="24" borderId="259" xfId="0" applyFont="1" applyFill="1" applyBorder="1" applyAlignment="1">
      <alignment horizontal="center" vertical="center" wrapText="1"/>
    </xf>
    <xf numFmtId="170" fontId="1" fillId="24" borderId="127" xfId="0" applyNumberFormat="1" applyFont="1" applyFill="1" applyBorder="1" applyAlignment="1">
      <alignment horizontal="center" vertical="center" wrapText="1"/>
    </xf>
    <xf numFmtId="171" fontId="1" fillId="24" borderId="230" xfId="0" applyNumberFormat="1" applyFont="1" applyFill="1" applyBorder="1" applyAlignment="1">
      <alignment horizontal="center" vertical="center" wrapText="1"/>
    </xf>
    <xf numFmtId="43" fontId="1" fillId="25" borderId="127" xfId="0" applyNumberFormat="1" applyFont="1" applyFill="1" applyBorder="1" applyAlignment="1">
      <alignment horizontal="center" vertical="center"/>
    </xf>
    <xf numFmtId="41" fontId="1" fillId="25" borderId="230" xfId="1" applyNumberFormat="1" applyFont="1" applyFill="1" applyBorder="1" applyAlignment="1" applyProtection="1">
      <alignment horizontal="center" vertical="center"/>
    </xf>
    <xf numFmtId="43" fontId="1" fillId="25" borderId="259" xfId="0" applyNumberFormat="1" applyFont="1" applyFill="1" applyBorder="1" applyAlignment="1">
      <alignment horizontal="center" vertical="center"/>
    </xf>
    <xf numFmtId="41" fontId="1" fillId="25" borderId="101" xfId="1" applyNumberFormat="1" applyFont="1" applyFill="1" applyBorder="1" applyAlignment="1" applyProtection="1">
      <alignment horizontal="center" vertical="center"/>
    </xf>
    <xf numFmtId="10" fontId="1" fillId="25" borderId="97" xfId="0" applyNumberFormat="1" applyFont="1" applyFill="1" applyBorder="1" applyAlignment="1">
      <alignment horizontal="center" vertical="center"/>
    </xf>
    <xf numFmtId="43" fontId="1" fillId="25" borderId="101" xfId="0" applyNumberFormat="1" applyFont="1" applyFill="1" applyBorder="1" applyAlignment="1">
      <alignment horizontal="center" vertical="center"/>
    </xf>
    <xf numFmtId="10" fontId="28" fillId="2" borderId="101" xfId="0" applyNumberFormat="1" applyFont="1" applyFill="1" applyBorder="1" applyAlignment="1">
      <alignment horizontal="center" vertical="center"/>
    </xf>
    <xf numFmtId="10" fontId="1" fillId="25" borderId="101" xfId="0" applyNumberFormat="1" applyFont="1" applyFill="1" applyBorder="1" applyAlignment="1">
      <alignment horizontal="center" vertical="center"/>
    </xf>
    <xf numFmtId="43" fontId="1" fillId="25" borderId="117" xfId="0" applyNumberFormat="1" applyFont="1" applyFill="1" applyBorder="1" applyAlignment="1">
      <alignment horizontal="center" vertical="center"/>
    </xf>
    <xf numFmtId="10" fontId="28" fillId="2" borderId="101" xfId="0" applyNumberFormat="1" applyFont="1" applyFill="1" applyBorder="1" applyAlignment="1">
      <alignment horizontal="center"/>
    </xf>
    <xf numFmtId="43" fontId="1" fillId="25" borderId="97" xfId="0" applyNumberFormat="1" applyFont="1" applyFill="1" applyBorder="1" applyAlignment="1">
      <alignment horizontal="center" vertical="center"/>
    </xf>
    <xf numFmtId="43" fontId="1" fillId="0" borderId="240" xfId="0" applyNumberFormat="1" applyFont="1" applyBorder="1" applyProtection="1">
      <protection locked="0"/>
    </xf>
    <xf numFmtId="0" fontId="1" fillId="0" borderId="245" xfId="0" applyFont="1" applyBorder="1" applyProtection="1">
      <protection locked="0"/>
    </xf>
    <xf numFmtId="43" fontId="1" fillId="0" borderId="236" xfId="0" applyNumberFormat="1" applyFont="1" applyBorder="1" applyProtection="1">
      <protection locked="0"/>
    </xf>
    <xf numFmtId="0" fontId="1" fillId="0" borderId="243" xfId="0" applyFont="1" applyBorder="1" applyProtection="1">
      <protection locked="0"/>
    </xf>
    <xf numFmtId="43" fontId="1" fillId="0" borderId="239" xfId="0" applyNumberFormat="1" applyFont="1" applyBorder="1" applyProtection="1">
      <protection locked="0"/>
    </xf>
    <xf numFmtId="0" fontId="1" fillId="0" borderId="249" xfId="0" applyFont="1" applyBorder="1" applyProtection="1">
      <protection locked="0"/>
    </xf>
    <xf numFmtId="9" fontId="4" fillId="6" borderId="110" xfId="0" applyNumberFormat="1" applyFont="1" applyFill="1" applyBorder="1" applyAlignment="1">
      <alignment horizontal="center" vertical="center" wrapText="1"/>
    </xf>
    <xf numFmtId="10" fontId="10" fillId="14" borderId="119" xfId="0" applyNumberFormat="1" applyFont="1" applyFill="1" applyBorder="1" applyAlignment="1">
      <alignment horizontal="center" vertical="center" wrapText="1"/>
    </xf>
    <xf numFmtId="10" fontId="10" fillId="14" borderId="97" xfId="0" applyNumberFormat="1" applyFont="1" applyFill="1" applyBorder="1" applyAlignment="1">
      <alignment horizontal="center" vertical="center" wrapText="1"/>
    </xf>
    <xf numFmtId="10" fontId="10" fillId="14" borderId="99" xfId="0" applyNumberFormat="1" applyFont="1" applyFill="1" applyBorder="1" applyAlignment="1">
      <alignment horizontal="center" vertical="center" wrapText="1"/>
    </xf>
    <xf numFmtId="9" fontId="15" fillId="6" borderId="110" xfId="0" applyNumberFormat="1" applyFont="1" applyFill="1" applyBorder="1" applyAlignment="1">
      <alignment horizontal="center" vertical="center" wrapText="1"/>
    </xf>
    <xf numFmtId="9" fontId="10" fillId="0" borderId="119" xfId="0" applyNumberFormat="1" applyFont="1" applyBorder="1" applyAlignment="1">
      <alignment horizontal="center" vertical="center" wrapText="1"/>
    </xf>
    <xf numFmtId="9" fontId="10" fillId="0" borderId="97" xfId="0" applyNumberFormat="1" applyFont="1" applyBorder="1" applyAlignment="1">
      <alignment horizontal="center" vertical="center" wrapText="1"/>
    </xf>
    <xf numFmtId="9" fontId="10" fillId="0" borderId="99" xfId="0" applyNumberFormat="1" applyFont="1" applyBorder="1" applyAlignment="1">
      <alignment horizontal="center" vertical="center" wrapText="1"/>
    </xf>
    <xf numFmtId="0" fontId="10" fillId="14" borderId="97" xfId="0" applyFont="1" applyFill="1" applyBorder="1" applyAlignment="1">
      <alignment vertical="center" wrapText="1"/>
    </xf>
    <xf numFmtId="0" fontId="10" fillId="14" borderId="97" xfId="0" applyFont="1" applyFill="1" applyBorder="1" applyAlignment="1">
      <alignment vertical="center"/>
    </xf>
    <xf numFmtId="0" fontId="14" fillId="14" borderId="119" xfId="0" applyFont="1" applyFill="1" applyBorder="1" applyAlignment="1">
      <alignment vertical="center" wrapText="1"/>
    </xf>
    <xf numFmtId="0" fontId="2" fillId="14" borderId="97" xfId="0" applyFont="1" applyFill="1" applyBorder="1" applyAlignment="1">
      <alignment vertical="center"/>
    </xf>
    <xf numFmtId="0" fontId="2" fillId="14" borderId="99" xfId="0" applyFont="1" applyFill="1" applyBorder="1" applyAlignment="1">
      <alignment vertical="center"/>
    </xf>
    <xf numFmtId="43" fontId="6" fillId="0" borderId="97" xfId="0" applyNumberFormat="1" applyFont="1" applyBorder="1" applyAlignment="1" applyProtection="1">
      <alignment horizontal="center" vertical="center" wrapText="1"/>
      <protection locked="0"/>
    </xf>
    <xf numFmtId="43" fontId="6" fillId="0" borderId="99" xfId="0" applyNumberFormat="1" applyFont="1" applyBorder="1" applyAlignment="1" applyProtection="1">
      <alignment horizontal="center" vertical="center" wrapText="1"/>
      <protection locked="0"/>
    </xf>
    <xf numFmtId="43" fontId="10" fillId="0" borderId="119" xfId="0" applyNumberFormat="1" applyFont="1" applyBorder="1" applyAlignment="1" applyProtection="1">
      <alignment horizontal="center" vertical="center" wrapText="1"/>
      <protection locked="0"/>
    </xf>
    <xf numFmtId="43" fontId="10" fillId="0" borderId="97" xfId="0" applyNumberFormat="1" applyFont="1" applyBorder="1" applyAlignment="1" applyProtection="1">
      <alignment horizontal="center" vertical="center" wrapText="1"/>
      <protection locked="0"/>
    </xf>
    <xf numFmtId="164" fontId="6" fillId="14" borderId="97" xfId="0" applyNumberFormat="1" applyFont="1" applyFill="1" applyBorder="1" applyAlignment="1">
      <alignment horizontal="center" vertical="center" wrapText="1"/>
    </xf>
    <xf numFmtId="0" fontId="1" fillId="24" borderId="93" xfId="0" applyFont="1" applyFill="1" applyBorder="1" applyAlignment="1">
      <alignment horizontal="center" vertical="center" wrapText="1"/>
    </xf>
    <xf numFmtId="0" fontId="1" fillId="24" borderId="94" xfId="0" applyFont="1" applyFill="1" applyBorder="1" applyAlignment="1">
      <alignment horizontal="center" vertical="center" wrapText="1"/>
    </xf>
    <xf numFmtId="170" fontId="1" fillId="24" borderId="260" xfId="0" applyNumberFormat="1" applyFont="1" applyFill="1" applyBorder="1" applyAlignment="1">
      <alignment horizontal="center" vertical="center" wrapText="1"/>
    </xf>
    <xf numFmtId="171" fontId="1" fillId="24" borderId="116" xfId="0" applyNumberFormat="1" applyFont="1" applyFill="1" applyBorder="1" applyAlignment="1">
      <alignment horizontal="center" vertical="center" wrapText="1"/>
    </xf>
    <xf numFmtId="0" fontId="1" fillId="24" borderId="260" xfId="0" applyFont="1" applyFill="1" applyBorder="1" applyAlignment="1">
      <alignment horizontal="center" vertical="center" wrapText="1"/>
    </xf>
    <xf numFmtId="170" fontId="1" fillId="24" borderId="228" xfId="0" applyNumberFormat="1" applyFont="1" applyFill="1" applyBorder="1" applyAlignment="1">
      <alignment horizontal="center" vertical="center" wrapText="1"/>
    </xf>
    <xf numFmtId="0" fontId="1" fillId="24" borderId="95" xfId="0" applyFont="1" applyFill="1" applyBorder="1" applyAlignment="1">
      <alignment horizontal="center" vertical="center" wrapText="1"/>
    </xf>
    <xf numFmtId="10" fontId="28" fillId="2" borderId="98" xfId="0" applyNumberFormat="1" applyFont="1" applyFill="1" applyBorder="1" applyAlignment="1">
      <alignment horizontal="center" vertical="center"/>
    </xf>
    <xf numFmtId="0" fontId="1" fillId="24" borderId="96" xfId="0" applyFont="1" applyFill="1" applyBorder="1" applyAlignment="1">
      <alignment horizontal="center" vertical="center" wrapText="1"/>
    </xf>
    <xf numFmtId="0" fontId="1" fillId="24" borderId="98" xfId="0" applyFont="1" applyFill="1" applyBorder="1" applyAlignment="1">
      <alignment horizontal="center" vertical="center" wrapText="1"/>
    </xf>
    <xf numFmtId="43" fontId="0" fillId="2" borderId="128" xfId="0" applyNumberFormat="1" applyFill="1" applyBorder="1" applyAlignment="1">
      <alignment horizontal="center" vertical="center"/>
    </xf>
    <xf numFmtId="172" fontId="0" fillId="2" borderId="261" xfId="1" applyNumberFormat="1" applyFont="1" applyFill="1" applyBorder="1" applyAlignment="1" applyProtection="1">
      <alignment horizontal="center" vertical="center"/>
    </xf>
    <xf numFmtId="43" fontId="0" fillId="2" borderId="262" xfId="0" applyNumberFormat="1" applyFill="1" applyBorder="1" applyAlignment="1">
      <alignment horizontal="center" vertical="center"/>
    </xf>
    <xf numFmtId="172" fontId="0" fillId="2" borderId="108" xfId="1" applyNumberFormat="1" applyFont="1" applyFill="1" applyBorder="1" applyAlignment="1" applyProtection="1">
      <alignment horizontal="center" vertical="center"/>
    </xf>
    <xf numFmtId="0" fontId="1" fillId="2" borderId="104" xfId="0" applyFont="1" applyFill="1" applyBorder="1" applyAlignment="1">
      <alignment vertical="center"/>
    </xf>
    <xf numFmtId="43" fontId="0" fillId="2" borderId="104" xfId="0" applyNumberFormat="1" applyFill="1" applyBorder="1" applyAlignment="1">
      <alignment horizontal="center" vertical="center"/>
    </xf>
    <xf numFmtId="10" fontId="28" fillId="2" borderId="108" xfId="0" applyNumberFormat="1" applyFont="1" applyFill="1" applyBorder="1" applyAlignment="1">
      <alignment horizontal="center"/>
    </xf>
    <xf numFmtId="10" fontId="28" fillId="2" borderId="105" xfId="0" applyNumberFormat="1" applyFont="1" applyFill="1" applyBorder="1" applyAlignment="1">
      <alignment horizontal="center" vertical="center"/>
    </xf>
    <xf numFmtId="0" fontId="14" fillId="0" borderId="0" xfId="7" applyFont="1"/>
    <xf numFmtId="0" fontId="14" fillId="0" borderId="0" xfId="7" applyFont="1" applyAlignment="1">
      <alignment wrapText="1"/>
    </xf>
    <xf numFmtId="0" fontId="10" fillId="6" borderId="94" xfId="0" applyFont="1" applyFill="1" applyBorder="1" applyAlignment="1">
      <alignment horizontal="center" vertical="center" wrapText="1"/>
    </xf>
    <xf numFmtId="165" fontId="10" fillId="20" borderId="26" xfId="2" applyNumberFormat="1" applyFont="1" applyFill="1" applyBorder="1" applyAlignment="1">
      <alignment horizontal="center" vertical="center" wrapText="1"/>
    </xf>
    <xf numFmtId="164" fontId="10" fillId="20" borderId="26" xfId="0" applyNumberFormat="1" applyFont="1" applyFill="1" applyBorder="1" applyAlignment="1">
      <alignment horizontal="center" vertical="center" wrapText="1"/>
    </xf>
    <xf numFmtId="10" fontId="14" fillId="0" borderId="124" xfId="4" applyNumberFormat="1" applyFont="1" applyFill="1" applyBorder="1" applyAlignment="1" applyProtection="1">
      <alignment horizontal="center" vertical="center" wrapText="1"/>
    </xf>
    <xf numFmtId="0" fontId="56" fillId="0" borderId="97" xfId="0" applyFont="1" applyBorder="1" applyAlignment="1" applyProtection="1">
      <alignment horizontal="center" vertical="center" wrapText="1"/>
      <protection locked="0"/>
    </xf>
    <xf numFmtId="164" fontId="10" fillId="0" borderId="119" xfId="0" applyNumberFormat="1" applyFont="1" applyBorder="1" applyAlignment="1">
      <alignment horizontal="center" vertical="center" wrapText="1"/>
    </xf>
    <xf numFmtId="10" fontId="14" fillId="21" borderId="0" xfId="0" applyNumberFormat="1" applyFont="1" applyFill="1" applyAlignment="1">
      <alignment horizontal="center" vertical="center"/>
    </xf>
    <xf numFmtId="0" fontId="10" fillId="2" borderId="0" xfId="0" applyFont="1" applyFill="1"/>
    <xf numFmtId="164" fontId="10" fillId="0" borderId="89" xfId="0" applyNumberFormat="1" applyFont="1" applyBorder="1" applyAlignment="1">
      <alignment horizontal="center" vertical="center" wrapText="1"/>
    </xf>
    <xf numFmtId="164" fontId="10" fillId="0" borderId="124" xfId="0" applyNumberFormat="1" applyFont="1" applyBorder="1" applyAlignment="1">
      <alignment horizontal="center" vertical="center" wrapText="1"/>
    </xf>
    <xf numFmtId="164" fontId="10" fillId="0" borderId="14" xfId="0" applyNumberFormat="1" applyFont="1" applyBorder="1" applyAlignment="1">
      <alignment horizontal="center" vertical="center" wrapText="1"/>
    </xf>
    <xf numFmtId="10" fontId="10" fillId="5" borderId="6" xfId="0" applyNumberFormat="1" applyFont="1" applyFill="1" applyBorder="1" applyAlignment="1">
      <alignment horizontal="center" vertical="center" wrapText="1"/>
    </xf>
    <xf numFmtId="10" fontId="10" fillId="21" borderId="0" xfId="0" applyNumberFormat="1" applyFont="1" applyFill="1" applyAlignment="1">
      <alignment horizontal="center" vertical="center"/>
    </xf>
    <xf numFmtId="0" fontId="14" fillId="6" borderId="105" xfId="0" applyFont="1" applyFill="1" applyBorder="1" applyAlignment="1">
      <alignment horizontal="center" vertical="center" wrapText="1"/>
    </xf>
    <xf numFmtId="0" fontId="15" fillId="0" borderId="0" xfId="0" applyFont="1" applyAlignment="1">
      <alignment vertical="center" wrapText="1"/>
    </xf>
    <xf numFmtId="0" fontId="19" fillId="10" borderId="22" xfId="0" applyFont="1" applyFill="1" applyBorder="1" applyAlignment="1">
      <alignment horizontal="left" vertical="center" wrapText="1" indent="3"/>
    </xf>
    <xf numFmtId="0" fontId="15" fillId="0" borderId="12" xfId="0" applyFont="1" applyBorder="1" applyAlignment="1">
      <alignment vertical="center" wrapText="1"/>
    </xf>
    <xf numFmtId="43" fontId="1" fillId="0" borderId="0" xfId="1" applyFont="1" applyProtection="1"/>
    <xf numFmtId="43" fontId="2" fillId="0" borderId="0" xfId="1" applyFont="1" applyAlignment="1" applyProtection="1">
      <alignment horizontal="right" vertical="center"/>
    </xf>
    <xf numFmtId="0" fontId="3" fillId="0" borderId="9" xfId="0" applyFont="1" applyBorder="1"/>
    <xf numFmtId="0" fontId="14" fillId="0" borderId="119" xfId="6" applyFont="1" applyBorder="1" applyAlignment="1" applyProtection="1">
      <alignment horizontal="center" wrapText="1"/>
      <protection locked="0"/>
    </xf>
    <xf numFmtId="0" fontId="10" fillId="0" borderId="0" xfId="0" applyFont="1" applyAlignment="1">
      <alignment horizontal="center" vertical="center" wrapText="1"/>
    </xf>
    <xf numFmtId="10" fontId="14" fillId="0" borderId="124" xfId="2" applyNumberFormat="1" applyFont="1" applyFill="1" applyBorder="1" applyAlignment="1" applyProtection="1">
      <alignment horizontal="center" vertical="center" wrapText="1"/>
    </xf>
    <xf numFmtId="10" fontId="14" fillId="5" borderId="5" xfId="2" applyNumberFormat="1" applyFont="1" applyFill="1" applyBorder="1" applyAlignment="1" applyProtection="1">
      <alignment horizontal="center" vertical="center" wrapText="1"/>
    </xf>
    <xf numFmtId="10" fontId="14" fillId="21" borderId="0" xfId="2" applyNumberFormat="1" applyFont="1" applyFill="1" applyAlignment="1">
      <alignment horizontal="center" vertical="center"/>
    </xf>
    <xf numFmtId="173" fontId="6" fillId="0" borderId="0" xfId="0" applyNumberFormat="1" applyFont="1" applyAlignment="1">
      <alignment vertical="center" wrapText="1"/>
    </xf>
    <xf numFmtId="10" fontId="14" fillId="0" borderId="124" xfId="2" applyNumberFormat="1" applyFont="1" applyBorder="1" applyAlignment="1">
      <alignment horizontal="center" vertical="center" wrapText="1"/>
    </xf>
    <xf numFmtId="10" fontId="14" fillId="5" borderId="5" xfId="2" applyNumberFormat="1" applyFont="1" applyFill="1" applyBorder="1" applyAlignment="1">
      <alignment horizontal="center" vertical="center" wrapText="1"/>
    </xf>
    <xf numFmtId="10" fontId="10" fillId="0" borderId="263" xfId="0" applyNumberFormat="1" applyFont="1" applyBorder="1" applyAlignment="1">
      <alignment horizontal="center" vertical="center" wrapText="1"/>
    </xf>
    <xf numFmtId="10" fontId="10" fillId="0" borderId="134" xfId="2" applyNumberFormat="1" applyFont="1" applyBorder="1" applyAlignment="1">
      <alignment horizontal="center" vertical="center" wrapText="1"/>
    </xf>
    <xf numFmtId="10" fontId="10" fillId="0" borderId="27" xfId="2" applyNumberFormat="1" applyFont="1" applyBorder="1" applyAlignment="1">
      <alignment horizontal="center" vertical="center" wrapText="1"/>
    </xf>
    <xf numFmtId="10" fontId="10" fillId="6" borderId="5" xfId="2" applyNumberFormat="1" applyFont="1" applyFill="1" applyBorder="1" applyAlignment="1">
      <alignment horizontal="center" vertical="center" wrapText="1"/>
    </xf>
    <xf numFmtId="10" fontId="10" fillId="21" borderId="0" xfId="2" applyNumberFormat="1" applyFont="1" applyFill="1" applyAlignment="1">
      <alignment horizontal="center" vertical="center"/>
    </xf>
    <xf numFmtId="10" fontId="10" fillId="0" borderId="263" xfId="2" applyNumberFormat="1" applyFont="1" applyBorder="1" applyAlignment="1" applyProtection="1">
      <alignment horizontal="center" vertical="center" wrapText="1"/>
    </xf>
    <xf numFmtId="10" fontId="10" fillId="5" borderId="6" xfId="2" applyNumberFormat="1" applyFont="1" applyFill="1" applyBorder="1" applyAlignment="1" applyProtection="1">
      <alignment horizontal="center" vertical="center" wrapText="1"/>
    </xf>
    <xf numFmtId="10" fontId="10" fillId="21" borderId="0" xfId="2" applyNumberFormat="1" applyFont="1" applyFill="1" applyAlignment="1" applyProtection="1">
      <alignment horizontal="center" vertical="center"/>
    </xf>
    <xf numFmtId="10" fontId="14" fillId="22" borderId="120" xfId="0" applyNumberFormat="1" applyFont="1" applyFill="1" applyBorder="1" applyAlignment="1">
      <alignment horizontal="center" vertical="center" wrapText="1"/>
    </xf>
    <xf numFmtId="165" fontId="14" fillId="0" borderId="97" xfId="2" applyNumberFormat="1" applyFont="1" applyFill="1" applyBorder="1" applyAlignment="1" applyProtection="1">
      <alignment horizontal="center" vertical="center"/>
    </xf>
    <xf numFmtId="165" fontId="10" fillId="0" borderId="97" xfId="2" applyNumberFormat="1" applyFont="1" applyFill="1" applyBorder="1" applyAlignment="1">
      <alignment horizontal="center" vertical="center" wrapText="1"/>
    </xf>
    <xf numFmtId="165" fontId="10" fillId="0" borderId="97" xfId="2" applyNumberFormat="1" applyFont="1" applyFill="1" applyBorder="1" applyAlignment="1">
      <alignment horizontal="center" vertical="center"/>
    </xf>
    <xf numFmtId="165" fontId="1" fillId="0" borderId="110" xfId="0" applyNumberFormat="1" applyFont="1" applyBorder="1" applyAlignment="1">
      <alignment horizontal="center" vertical="center"/>
    </xf>
    <xf numFmtId="165" fontId="1" fillId="0" borderId="111" xfId="0" applyNumberFormat="1" applyFont="1" applyBorder="1" applyAlignment="1">
      <alignment horizontal="center" vertical="center"/>
    </xf>
    <xf numFmtId="0" fontId="14" fillId="6" borderId="95" xfId="0" applyFont="1" applyFill="1" applyBorder="1" applyAlignment="1">
      <alignment horizontal="center" vertical="center" wrapText="1"/>
    </xf>
    <xf numFmtId="0" fontId="29" fillId="0" borderId="0" xfId="3" applyFont="1" applyAlignment="1" applyProtection="1">
      <alignment horizontal="left" vertical="center"/>
      <protection locked="0"/>
    </xf>
    <xf numFmtId="0" fontId="1" fillId="0" borderId="0" xfId="0" applyFont="1" applyAlignment="1">
      <alignment horizontal="right"/>
    </xf>
    <xf numFmtId="0" fontId="10" fillId="0" borderId="27" xfId="0" applyFont="1" applyBorder="1"/>
    <xf numFmtId="0" fontId="10" fillId="0" borderId="36" xfId="0" applyFont="1" applyBorder="1"/>
    <xf numFmtId="0" fontId="4" fillId="8" borderId="82" xfId="3" applyFont="1" applyFill="1" applyBorder="1" applyAlignment="1">
      <alignment horizontal="center" vertical="center"/>
    </xf>
    <xf numFmtId="0" fontId="4" fillId="7" borderId="265" xfId="3" applyFont="1" applyFill="1" applyBorder="1" applyAlignment="1">
      <alignment vertical="center"/>
    </xf>
    <xf numFmtId="166" fontId="4" fillId="7" borderId="266" xfId="3" applyNumberFormat="1" applyFont="1" applyFill="1" applyBorder="1" applyAlignment="1" applyProtection="1">
      <alignment horizontal="center" vertical="center"/>
      <protection locked="0"/>
    </xf>
    <xf numFmtId="0" fontId="14" fillId="0" borderId="60" xfId="0" applyFont="1" applyBorder="1"/>
    <xf numFmtId="0" fontId="2" fillId="0" borderId="97" xfId="0" applyFont="1" applyBorder="1" applyAlignment="1">
      <alignment vertical="center" wrapText="1"/>
    </xf>
    <xf numFmtId="0" fontId="6" fillId="0" borderId="97" xfId="0" applyFont="1" applyBorder="1" applyAlignment="1">
      <alignment vertical="center" wrapText="1"/>
    </xf>
    <xf numFmtId="0" fontId="8" fillId="6" borderId="9" xfId="0" applyFont="1" applyFill="1" applyBorder="1" applyAlignment="1">
      <alignment horizontal="left" vertical="center" wrapText="1" indent="2"/>
    </xf>
    <xf numFmtId="0" fontId="9" fillId="3" borderId="16" xfId="0" applyFont="1" applyFill="1" applyBorder="1" applyAlignment="1">
      <alignment horizontal="left" vertical="center" indent="4"/>
    </xf>
    <xf numFmtId="0" fontId="9" fillId="3" borderId="23" xfId="0" applyFont="1" applyFill="1" applyBorder="1" applyAlignment="1">
      <alignment horizontal="left" vertical="center" wrapText="1" indent="4"/>
    </xf>
    <xf numFmtId="0" fontId="9" fillId="3" borderId="20" xfId="0" applyFont="1" applyFill="1" applyBorder="1" applyAlignment="1">
      <alignment horizontal="left" vertical="center" wrapText="1" indent="4"/>
    </xf>
    <xf numFmtId="0" fontId="9" fillId="3" borderId="16" xfId="0" applyFont="1" applyFill="1" applyBorder="1" applyAlignment="1">
      <alignment horizontal="left" vertical="center" wrapText="1" indent="4"/>
    </xf>
    <xf numFmtId="0" fontId="9" fillId="3" borderId="7" xfId="0" applyFont="1" applyFill="1" applyBorder="1" applyAlignment="1">
      <alignment horizontal="left" vertical="center" wrapText="1" indent="4"/>
    </xf>
    <xf numFmtId="0" fontId="10" fillId="6" borderId="24" xfId="0" applyFont="1" applyFill="1" applyBorder="1" applyAlignment="1">
      <alignment horizontal="right" vertical="center" wrapText="1"/>
    </xf>
    <xf numFmtId="0" fontId="8" fillId="6" borderId="0" xfId="0" applyFont="1" applyFill="1" applyAlignment="1">
      <alignment vertical="center" wrapText="1"/>
    </xf>
    <xf numFmtId="43" fontId="8" fillId="6" borderId="24" xfId="1" applyFont="1" applyFill="1" applyBorder="1" applyAlignment="1" applyProtection="1">
      <alignment horizontal="right" vertical="center" wrapText="1"/>
    </xf>
    <xf numFmtId="0" fontId="1" fillId="0" borderId="0" xfId="0" applyFont="1" applyAlignment="1">
      <alignment horizontal="left"/>
    </xf>
    <xf numFmtId="0" fontId="10" fillId="10" borderId="24" xfId="0" applyFont="1" applyFill="1" applyBorder="1" applyAlignment="1">
      <alignment horizontal="right" vertical="center" wrapText="1"/>
    </xf>
    <xf numFmtId="0" fontId="10" fillId="6" borderId="228" xfId="0" applyFont="1" applyFill="1" applyBorder="1" applyAlignment="1">
      <alignment horizontal="center" vertical="center" wrapText="1"/>
    </xf>
    <xf numFmtId="0" fontId="10" fillId="6" borderId="89" xfId="0" applyFont="1" applyFill="1" applyBorder="1" applyAlignment="1">
      <alignment horizontal="center" vertical="center" wrapText="1"/>
    </xf>
    <xf numFmtId="0" fontId="57" fillId="0" borderId="0" xfId="0" applyFont="1"/>
    <xf numFmtId="0" fontId="10" fillId="6" borderId="137" xfId="0" applyFont="1" applyFill="1" applyBorder="1" applyAlignment="1">
      <alignment horizontal="center" vertical="center" wrapText="1"/>
    </xf>
    <xf numFmtId="0" fontId="10" fillId="6" borderId="160" xfId="0" applyFont="1" applyFill="1" applyBorder="1" applyAlignment="1">
      <alignment horizontal="center" vertical="center" wrapText="1"/>
    </xf>
    <xf numFmtId="0" fontId="10" fillId="6" borderId="158" xfId="0" applyFont="1" applyFill="1" applyBorder="1" applyAlignment="1">
      <alignment horizontal="center" vertical="center" wrapText="1"/>
    </xf>
    <xf numFmtId="10" fontId="10" fillId="7" borderId="140" xfId="2" applyNumberFormat="1" applyFont="1" applyFill="1" applyBorder="1" applyAlignment="1" applyProtection="1">
      <alignment vertical="center" wrapText="1"/>
      <protection locked="0"/>
    </xf>
    <xf numFmtId="10" fontId="10" fillId="7" borderId="136" xfId="2" applyNumberFormat="1" applyFont="1" applyFill="1" applyBorder="1" applyAlignment="1" applyProtection="1">
      <alignment vertical="center" wrapText="1"/>
      <protection locked="0"/>
    </xf>
    <xf numFmtId="10" fontId="10" fillId="7" borderId="139" xfId="2" applyNumberFormat="1" applyFont="1" applyFill="1" applyBorder="1" applyAlignment="1" applyProtection="1">
      <alignment vertical="center" wrapText="1"/>
      <protection locked="0"/>
    </xf>
    <xf numFmtId="10" fontId="10" fillId="16" borderId="197" xfId="2" applyNumberFormat="1" applyFont="1" applyFill="1" applyBorder="1" applyAlignment="1" applyProtection="1">
      <alignment vertical="center" wrapText="1"/>
    </xf>
    <xf numFmtId="10" fontId="10" fillId="13" borderId="140" xfId="2" applyNumberFormat="1" applyFont="1" applyFill="1" applyBorder="1" applyAlignment="1" applyProtection="1">
      <alignment vertical="center" wrapText="1"/>
    </xf>
    <xf numFmtId="10" fontId="10" fillId="13" borderId="136" xfId="2" applyNumberFormat="1" applyFont="1" applyFill="1" applyBorder="1" applyAlignment="1" applyProtection="1">
      <alignment vertical="center" wrapText="1"/>
    </xf>
    <xf numFmtId="10" fontId="10" fillId="7" borderId="147" xfId="2" applyNumberFormat="1" applyFont="1" applyFill="1" applyBorder="1" applyAlignment="1" applyProtection="1">
      <alignment vertical="center" wrapText="1"/>
      <protection locked="0"/>
    </xf>
    <xf numFmtId="10" fontId="10" fillId="16" borderId="198" xfId="2" applyNumberFormat="1" applyFont="1" applyFill="1" applyBorder="1" applyAlignment="1" applyProtection="1">
      <alignment vertical="center" wrapText="1"/>
    </xf>
    <xf numFmtId="10" fontId="10" fillId="13" borderId="145" xfId="2" applyNumberFormat="1" applyFont="1" applyFill="1" applyBorder="1" applyAlignment="1" applyProtection="1">
      <alignment vertical="center" wrapText="1"/>
    </xf>
    <xf numFmtId="10" fontId="10" fillId="7" borderId="145" xfId="2" applyNumberFormat="1" applyFont="1" applyFill="1" applyBorder="1" applyAlignment="1" applyProtection="1">
      <alignment vertical="center" wrapText="1"/>
      <protection locked="0"/>
    </xf>
    <xf numFmtId="10" fontId="10" fillId="7" borderId="150" xfId="2" applyNumberFormat="1" applyFont="1" applyFill="1" applyBorder="1" applyAlignment="1" applyProtection="1">
      <alignment vertical="center" wrapText="1"/>
      <protection locked="0"/>
    </xf>
    <xf numFmtId="10" fontId="10" fillId="13" borderId="152" xfId="2" applyNumberFormat="1" applyFont="1" applyFill="1" applyBorder="1" applyAlignment="1" applyProtection="1">
      <alignment vertical="center" wrapText="1"/>
    </xf>
    <xf numFmtId="10" fontId="14" fillId="16" borderId="198" xfId="2" applyNumberFormat="1" applyFont="1" applyFill="1" applyBorder="1" applyAlignment="1" applyProtection="1">
      <alignment vertical="center" wrapText="1"/>
    </xf>
    <xf numFmtId="10" fontId="10" fillId="7" borderId="148" xfId="2" applyNumberFormat="1" applyFont="1" applyFill="1" applyBorder="1" applyAlignment="1" applyProtection="1">
      <alignment vertical="center" wrapText="1"/>
      <protection locked="0"/>
    </xf>
    <xf numFmtId="10" fontId="10" fillId="15" borderId="95" xfId="2" applyNumberFormat="1" applyFont="1" applyFill="1" applyBorder="1" applyAlignment="1" applyProtection="1">
      <alignment vertical="center" wrapText="1"/>
    </xf>
    <xf numFmtId="10" fontId="10" fillId="7" borderId="152" xfId="2" applyNumberFormat="1" applyFont="1" applyFill="1" applyBorder="1" applyAlignment="1" applyProtection="1">
      <alignment vertical="center" wrapText="1"/>
      <protection locked="0"/>
    </xf>
    <xf numFmtId="41" fontId="14" fillId="11" borderId="128" xfId="0" applyNumberFormat="1" applyFont="1" applyFill="1" applyBorder="1" applyAlignment="1">
      <alignment horizontal="center" vertical="center" wrapText="1"/>
    </xf>
    <xf numFmtId="0" fontId="14" fillId="11" borderId="122" xfId="0" applyFont="1" applyFill="1" applyBorder="1" applyAlignment="1">
      <alignment horizontal="center" vertical="center" wrapText="1"/>
    </xf>
    <xf numFmtId="43" fontId="10" fillId="16" borderId="213" xfId="1" applyFont="1" applyFill="1" applyBorder="1" applyAlignment="1" applyProtection="1">
      <alignment vertical="center" wrapText="1"/>
    </xf>
    <xf numFmtId="43" fontId="10" fillId="13" borderId="137" xfId="1" applyFont="1" applyFill="1" applyBorder="1" applyAlignment="1" applyProtection="1">
      <alignment vertical="center" wrapText="1"/>
    </xf>
    <xf numFmtId="43" fontId="10" fillId="13" borderId="159" xfId="1" applyFont="1" applyFill="1" applyBorder="1" applyAlignment="1" applyProtection="1">
      <alignment vertical="center" wrapText="1"/>
    </xf>
    <xf numFmtId="43" fontId="14" fillId="16" borderId="213" xfId="1" applyFont="1" applyFill="1" applyBorder="1" applyAlignment="1" applyProtection="1">
      <alignment vertical="center" wrapText="1"/>
    </xf>
    <xf numFmtId="43" fontId="10" fillId="15" borderId="228" xfId="1" applyFont="1" applyFill="1" applyBorder="1" applyAlignment="1" applyProtection="1">
      <alignment vertical="center" wrapText="1"/>
    </xf>
    <xf numFmtId="10" fontId="28" fillId="2" borderId="97" xfId="0" applyNumberFormat="1" applyFont="1" applyFill="1" applyBorder="1" applyAlignment="1">
      <alignment horizontal="center" vertical="center"/>
    </xf>
    <xf numFmtId="10" fontId="28" fillId="2" borderId="97" xfId="0" applyNumberFormat="1" applyFont="1" applyFill="1" applyBorder="1" applyAlignment="1">
      <alignment horizontal="center"/>
    </xf>
    <xf numFmtId="10" fontId="1" fillId="2" borderId="104" xfId="0" applyNumberFormat="1" applyFont="1" applyFill="1" applyBorder="1" applyAlignment="1">
      <alignment vertical="center"/>
    </xf>
    <xf numFmtId="10" fontId="10" fillId="0" borderId="97" xfId="0" applyNumberFormat="1" applyFont="1" applyBorder="1" applyAlignment="1">
      <alignment horizontal="center" vertical="center"/>
    </xf>
    <xf numFmtId="10" fontId="14" fillId="0" borderId="97" xfId="0" applyNumberFormat="1" applyFont="1" applyBorder="1" applyAlignment="1">
      <alignment horizontal="center" vertical="center"/>
    </xf>
    <xf numFmtId="10" fontId="10" fillId="0" borderId="97" xfId="4" applyNumberFormat="1" applyFont="1" applyFill="1" applyBorder="1" applyAlignment="1" applyProtection="1">
      <alignment horizontal="center" vertical="center"/>
    </xf>
    <xf numFmtId="10" fontId="14" fillId="0" borderId="97" xfId="4" applyNumberFormat="1" applyFont="1" applyFill="1" applyBorder="1" applyAlignment="1" applyProtection="1">
      <alignment horizontal="center" vertical="center"/>
    </xf>
    <xf numFmtId="10" fontId="14" fillId="0" borderId="97" xfId="2" applyNumberFormat="1" applyFont="1" applyFill="1" applyBorder="1" applyAlignment="1" applyProtection="1">
      <alignment horizontal="center" vertical="center"/>
    </xf>
    <xf numFmtId="0" fontId="59" fillId="0" borderId="0" xfId="0" applyFont="1" applyAlignment="1">
      <alignment vertical="center"/>
    </xf>
    <xf numFmtId="171" fontId="1" fillId="24" borderId="222" xfId="0" applyNumberFormat="1" applyFont="1" applyFill="1" applyBorder="1" applyAlignment="1">
      <alignment horizontal="center" vertical="center" wrapText="1"/>
    </xf>
    <xf numFmtId="0" fontId="0" fillId="0" borderId="273" xfId="0" applyBorder="1"/>
    <xf numFmtId="0" fontId="0" fillId="0" borderId="275" xfId="0" applyBorder="1"/>
    <xf numFmtId="0" fontId="0" fillId="0" borderId="239" xfId="0" applyBorder="1"/>
    <xf numFmtId="0" fontId="4" fillId="0" borderId="274" xfId="0" applyFont="1" applyBorder="1" applyAlignment="1">
      <alignment horizontal="center"/>
    </xf>
    <xf numFmtId="0" fontId="4" fillId="0" borderId="273" xfId="0" applyFont="1" applyBorder="1" applyAlignment="1">
      <alignment horizontal="center"/>
    </xf>
    <xf numFmtId="0" fontId="4" fillId="0" borderId="0" xfId="0" applyFont="1" applyAlignment="1">
      <alignment horizontal="center"/>
    </xf>
    <xf numFmtId="0" fontId="1" fillId="0" borderId="274" xfId="0" applyFont="1" applyBorder="1"/>
    <xf numFmtId="0" fontId="1" fillId="0" borderId="60" xfId="0" applyFont="1" applyBorder="1"/>
    <xf numFmtId="0" fontId="0" fillId="0" borderId="274" xfId="0" applyBorder="1"/>
    <xf numFmtId="0" fontId="0" fillId="0" borderId="276" xfId="0" applyBorder="1"/>
    <xf numFmtId="0" fontId="2" fillId="0" borderId="276" xfId="0" applyFont="1" applyBorder="1" applyAlignment="1">
      <alignment vertical="center"/>
    </xf>
    <xf numFmtId="0" fontId="2" fillId="0" borderId="0" xfId="0" applyFont="1" applyAlignment="1">
      <alignment horizontal="right" vertical="center" wrapText="1"/>
    </xf>
    <xf numFmtId="9" fontId="32" fillId="0" borderId="60" xfId="0" applyNumberFormat="1" applyFont="1" applyBorder="1" applyAlignment="1">
      <alignment horizontal="right" vertical="center"/>
    </xf>
    <xf numFmtId="41" fontId="14" fillId="11" borderId="104" xfId="1" applyNumberFormat="1" applyFont="1" applyFill="1" applyBorder="1" applyAlignment="1" applyProtection="1">
      <alignment horizontal="center" wrapText="1"/>
    </xf>
    <xf numFmtId="1" fontId="10" fillId="0" borderId="118" xfId="0" applyNumberFormat="1" applyFont="1" applyBorder="1" applyAlignment="1" applyProtection="1">
      <alignment horizontal="center" vertical="center" wrapText="1"/>
      <protection locked="0"/>
    </xf>
    <xf numFmtId="1" fontId="10" fillId="0" borderId="101" xfId="0" applyNumberFormat="1" applyFont="1" applyBorder="1" applyAlignment="1" applyProtection="1">
      <alignment horizontal="center" vertical="center" wrapText="1"/>
      <protection locked="0"/>
    </xf>
    <xf numFmtId="1" fontId="10" fillId="0" borderId="108" xfId="0" applyNumberFormat="1" applyFont="1" applyBorder="1" applyAlignment="1" applyProtection="1">
      <alignment horizontal="center" vertical="center" wrapText="1"/>
      <protection locked="0"/>
    </xf>
    <xf numFmtId="0" fontId="4" fillId="0" borderId="0" xfId="0" applyFont="1" applyAlignment="1">
      <alignment vertical="center"/>
    </xf>
    <xf numFmtId="0" fontId="14" fillId="0" borderId="0" xfId="0" applyFont="1" applyAlignment="1">
      <alignment horizontal="center"/>
    </xf>
    <xf numFmtId="10" fontId="14" fillId="0" borderId="0" xfId="2" applyNumberFormat="1" applyFont="1" applyFill="1" applyAlignment="1">
      <alignment horizontal="center" vertical="center"/>
    </xf>
    <xf numFmtId="10" fontId="14" fillId="0" borderId="0" xfId="0" applyNumberFormat="1" applyFont="1" applyAlignment="1">
      <alignment horizontal="center" vertical="center"/>
    </xf>
    <xf numFmtId="10" fontId="10" fillId="20" borderId="122" xfId="2" applyNumberFormat="1" applyFont="1" applyFill="1" applyBorder="1" applyAlignment="1">
      <alignment horizontal="center" vertical="center" wrapText="1"/>
    </xf>
    <xf numFmtId="0" fontId="14" fillId="0" borderId="119" xfId="6" applyFont="1" applyBorder="1" applyAlignment="1" applyProtection="1">
      <alignment horizontal="center" vertical="center" wrapText="1"/>
      <protection locked="0"/>
    </xf>
    <xf numFmtId="0" fontId="14" fillId="0" borderId="97" xfId="6" applyFont="1" applyBorder="1" applyAlignment="1" applyProtection="1">
      <alignment horizontal="center" vertical="center" wrapText="1"/>
      <protection locked="0"/>
    </xf>
    <xf numFmtId="0" fontId="4" fillId="0" borderId="0" xfId="0" applyFont="1" applyAlignment="1">
      <alignment vertical="center" wrapText="1"/>
    </xf>
    <xf numFmtId="0" fontId="38" fillId="0" borderId="0" xfId="0" applyFont="1"/>
    <xf numFmtId="0" fontId="14" fillId="6" borderId="103" xfId="0" applyFont="1" applyFill="1" applyBorder="1" applyAlignment="1">
      <alignment horizontal="center" vertical="center" wrapText="1"/>
    </xf>
    <xf numFmtId="0" fontId="10" fillId="2" borderId="0" xfId="0" applyFont="1" applyFill="1" applyAlignment="1">
      <alignment wrapText="1"/>
    </xf>
    <xf numFmtId="10" fontId="10" fillId="0" borderId="0" xfId="2" applyNumberFormat="1" applyFont="1" applyFill="1" applyAlignment="1">
      <alignment horizontal="center" vertical="center"/>
    </xf>
    <xf numFmtId="10" fontId="10" fillId="0" borderId="0" xfId="2" applyNumberFormat="1" applyFont="1" applyFill="1" applyAlignment="1" applyProtection="1">
      <alignment horizontal="center" vertical="center"/>
    </xf>
    <xf numFmtId="43" fontId="0" fillId="2" borderId="108" xfId="1" applyFont="1" applyFill="1" applyBorder="1" applyAlignment="1" applyProtection="1">
      <alignment horizontal="center" vertical="center"/>
    </xf>
    <xf numFmtId="0" fontId="27" fillId="0" borderId="0" xfId="7" applyFont="1" applyBorder="1" applyAlignment="1" applyProtection="1"/>
    <xf numFmtId="0" fontId="10" fillId="6" borderId="157" xfId="0" applyFont="1" applyFill="1" applyBorder="1" applyAlignment="1">
      <alignment horizontal="center" vertical="center" wrapText="1"/>
    </xf>
    <xf numFmtId="0" fontId="10" fillId="6" borderId="221" xfId="0" applyFont="1" applyFill="1" applyBorder="1" applyAlignment="1">
      <alignment horizontal="center" vertical="center" wrapText="1"/>
    </xf>
    <xf numFmtId="164" fontId="1" fillId="0" borderId="97" xfId="0" applyNumberFormat="1" applyFont="1" applyBorder="1" applyAlignment="1">
      <alignment vertical="center"/>
    </xf>
    <xf numFmtId="165" fontId="1" fillId="0" borderId="110" xfId="2" applyNumberFormat="1" applyFont="1" applyFill="1" applyBorder="1" applyAlignment="1" applyProtection="1">
      <alignment horizontal="center" vertical="center"/>
    </xf>
    <xf numFmtId="168" fontId="14" fillId="0" borderId="97" xfId="1" applyNumberFormat="1" applyFont="1" applyFill="1" applyBorder="1" applyAlignment="1" applyProtection="1">
      <alignment vertical="center"/>
    </xf>
    <xf numFmtId="0" fontId="8" fillId="8" borderId="5" xfId="3" applyFont="1" applyFill="1" applyBorder="1" applyAlignment="1">
      <alignment horizontal="left"/>
    </xf>
    <xf numFmtId="0" fontId="13" fillId="10" borderId="9" xfId="3" applyFont="1" applyFill="1" applyBorder="1" applyAlignment="1">
      <alignment vertical="center"/>
    </xf>
    <xf numFmtId="43" fontId="10" fillId="10" borderId="74" xfId="1" applyFont="1" applyFill="1" applyBorder="1" applyAlignment="1" applyProtection="1">
      <alignment horizontal="center" vertical="center"/>
      <protection locked="0"/>
    </xf>
    <xf numFmtId="4" fontId="8" fillId="13" borderId="5" xfId="3" applyNumberFormat="1" applyFont="1" applyFill="1" applyBorder="1" applyAlignment="1">
      <alignment horizontal="left"/>
    </xf>
    <xf numFmtId="10" fontId="4" fillId="10" borderId="5" xfId="2" applyNumberFormat="1" applyFont="1" applyFill="1" applyBorder="1" applyAlignment="1" applyProtection="1">
      <alignment horizontal="center" vertical="center"/>
      <protection locked="0"/>
    </xf>
    <xf numFmtId="10" fontId="13" fillId="26" borderId="74" xfId="2" applyNumberFormat="1" applyFont="1" applyFill="1" applyBorder="1" applyAlignment="1" applyProtection="1">
      <alignment horizontal="center" vertical="center"/>
      <protection locked="0"/>
    </xf>
    <xf numFmtId="165" fontId="13" fillId="2" borderId="5" xfId="2" applyNumberFormat="1" applyFont="1" applyFill="1" applyBorder="1" applyAlignment="1" applyProtection="1">
      <alignment horizontal="center"/>
    </xf>
    <xf numFmtId="10" fontId="28" fillId="2" borderId="101" xfId="2" applyNumberFormat="1" applyFont="1" applyFill="1" applyBorder="1" applyAlignment="1" applyProtection="1">
      <alignment horizontal="center"/>
    </xf>
    <xf numFmtId="10" fontId="28" fillId="6" borderId="97" xfId="2" applyNumberFormat="1" applyFont="1" applyFill="1" applyBorder="1" applyAlignment="1" applyProtection="1">
      <alignment horizontal="center"/>
    </xf>
    <xf numFmtId="37" fontId="10" fillId="6" borderId="166" xfId="0" applyNumberFormat="1" applyFont="1" applyFill="1" applyBorder="1" applyAlignment="1">
      <alignment horizontal="center" vertical="center" wrapText="1"/>
    </xf>
    <xf numFmtId="43" fontId="10" fillId="7" borderId="139" xfId="1" applyFont="1" applyFill="1" applyBorder="1" applyAlignment="1" applyProtection="1">
      <alignment vertical="center" wrapText="1"/>
    </xf>
    <xf numFmtId="10" fontId="10" fillId="15" borderId="94" xfId="2" applyNumberFormat="1" applyFont="1" applyFill="1" applyBorder="1" applyAlignment="1" applyProtection="1">
      <alignment vertical="center" wrapText="1"/>
    </xf>
    <xf numFmtId="164" fontId="1" fillId="0" borderId="97" xfId="0" applyNumberFormat="1" applyFont="1" applyBorder="1" applyAlignment="1" applyProtection="1">
      <alignment horizontal="center" vertical="center"/>
      <protection locked="0"/>
    </xf>
    <xf numFmtId="43" fontId="10" fillId="7" borderId="159" xfId="1" applyFont="1" applyFill="1" applyBorder="1" applyAlignment="1" applyProtection="1">
      <alignment vertical="center" wrapText="1"/>
    </xf>
    <xf numFmtId="43" fontId="10" fillId="7" borderId="137" xfId="1" applyFont="1" applyFill="1" applyBorder="1" applyAlignment="1" applyProtection="1">
      <alignment vertical="center" wrapText="1"/>
    </xf>
    <xf numFmtId="43" fontId="10" fillId="7" borderId="157" xfId="1" applyFont="1" applyFill="1" applyBorder="1" applyAlignment="1" applyProtection="1">
      <alignment vertical="center" wrapText="1"/>
    </xf>
    <xf numFmtId="43" fontId="10" fillId="7" borderId="160" xfId="1" applyFont="1" applyFill="1" applyBorder="1" applyAlignment="1" applyProtection="1">
      <alignment vertical="center" wrapText="1"/>
    </xf>
    <xf numFmtId="43" fontId="10" fillId="7" borderId="140" xfId="1" applyFont="1" applyFill="1" applyBorder="1" applyAlignment="1" applyProtection="1">
      <alignment vertical="center" wrapText="1"/>
    </xf>
    <xf numFmtId="43" fontId="9" fillId="0" borderId="24" xfId="1" applyFont="1" applyFill="1" applyBorder="1" applyAlignment="1" applyProtection="1">
      <alignment vertical="center" wrapText="1"/>
    </xf>
    <xf numFmtId="164" fontId="4" fillId="0" borderId="51" xfId="0" applyNumberFormat="1" applyFont="1" applyBorder="1" applyAlignment="1">
      <alignment vertical="center"/>
    </xf>
    <xf numFmtId="164" fontId="4" fillId="6" borderId="5" xfId="0" applyNumberFormat="1" applyFont="1" applyFill="1" applyBorder="1" applyAlignment="1">
      <alignment horizontal="right" vertical="center"/>
    </xf>
    <xf numFmtId="0" fontId="5" fillId="0" borderId="0" xfId="0" applyFont="1" applyAlignment="1">
      <alignment horizontal="center" vertical="center"/>
    </xf>
    <xf numFmtId="0" fontId="13" fillId="0" borderId="0" xfId="0" applyFont="1" applyAlignment="1">
      <alignment horizontal="center" vertical="center"/>
    </xf>
    <xf numFmtId="0" fontId="60" fillId="0" borderId="0" xfId="0" applyFont="1" applyAlignment="1">
      <alignment horizontal="right" vertical="center" wrapText="1"/>
    </xf>
    <xf numFmtId="43" fontId="10" fillId="0" borderId="97" xfId="1" applyFont="1" applyFill="1" applyBorder="1" applyAlignment="1" applyProtection="1">
      <alignment horizontal="center" vertical="center"/>
    </xf>
    <xf numFmtId="168" fontId="14" fillId="0" borderId="97" xfId="1" applyNumberFormat="1" applyFont="1" applyFill="1" applyBorder="1" applyAlignment="1" applyProtection="1">
      <alignment horizontal="center" vertical="center"/>
    </xf>
    <xf numFmtId="175" fontId="10" fillId="16" borderId="197" xfId="1" applyNumberFormat="1" applyFont="1" applyFill="1" applyBorder="1" applyAlignment="1" applyProtection="1">
      <alignment vertical="center" wrapText="1"/>
    </xf>
    <xf numFmtId="175" fontId="14" fillId="16" borderId="197" xfId="1" applyNumberFormat="1" applyFont="1" applyFill="1" applyBorder="1" applyAlignment="1" applyProtection="1">
      <alignment vertical="center" wrapText="1"/>
    </xf>
    <xf numFmtId="0" fontId="1" fillId="0" borderId="0" xfId="0" applyFont="1" applyAlignment="1">
      <alignment wrapText="1"/>
    </xf>
    <xf numFmtId="0" fontId="4" fillId="0" borderId="0" xfId="0" applyFont="1" applyAlignment="1">
      <alignment horizontal="center" vertical="center" wrapText="1"/>
    </xf>
    <xf numFmtId="14" fontId="6" fillId="0" borderId="0" xfId="0" applyNumberFormat="1" applyFont="1" applyAlignment="1">
      <alignment vertical="center" wrapText="1"/>
    </xf>
    <xf numFmtId="0" fontId="11" fillId="0" borderId="0" xfId="0" applyFont="1" applyAlignment="1">
      <alignment horizontal="left" vertical="center" wrapText="1"/>
    </xf>
    <xf numFmtId="0" fontId="8" fillId="2" borderId="26" xfId="0" applyFont="1" applyFill="1" applyBorder="1" applyAlignment="1">
      <alignment horizontal="left" vertical="center" wrapText="1"/>
    </xf>
    <xf numFmtId="0" fontId="25" fillId="0" borderId="0" xfId="0" applyFont="1" applyAlignment="1">
      <alignment horizontal="left" vertical="center" wrapText="1"/>
    </xf>
    <xf numFmtId="0" fontId="15" fillId="0" borderId="0" xfId="0" applyFont="1" applyAlignment="1">
      <alignment horizontal="left" vertical="center" wrapText="1"/>
    </xf>
    <xf numFmtId="0" fontId="10" fillId="0" borderId="24" xfId="0" applyFont="1" applyBorder="1" applyAlignment="1">
      <alignment horizontal="left" vertical="center" wrapText="1"/>
    </xf>
    <xf numFmtId="0" fontId="15" fillId="0" borderId="60" xfId="0" applyFont="1" applyBorder="1" applyAlignment="1">
      <alignment horizontal="left" vertical="center" wrapText="1"/>
    </xf>
    <xf numFmtId="0" fontId="4" fillId="5" borderId="26" xfId="0" applyFont="1" applyFill="1" applyBorder="1" applyAlignment="1">
      <alignment horizontal="center" vertical="center" wrapText="1"/>
    </xf>
    <xf numFmtId="0" fontId="7" fillId="0" borderId="0" xfId="0" applyFont="1" applyAlignment="1">
      <alignment wrapText="1"/>
    </xf>
    <xf numFmtId="0" fontId="8" fillId="0" borderId="0" xfId="0" applyFont="1" applyAlignment="1">
      <alignment vertical="center" wrapText="1"/>
    </xf>
    <xf numFmtId="0" fontId="9" fillId="0" borderId="24" xfId="0" applyFont="1" applyBorder="1" applyAlignment="1">
      <alignment horizontal="left" vertical="center" wrapText="1"/>
    </xf>
    <xf numFmtId="49" fontId="1" fillId="0" borderId="250" xfId="0" applyNumberFormat="1" applyFont="1" applyBorder="1" applyAlignment="1" applyProtection="1">
      <alignment horizontal="left" vertical="center" wrapText="1"/>
      <protection locked="0"/>
    </xf>
    <xf numFmtId="49" fontId="1" fillId="0" borderId="251" xfId="0" applyNumberFormat="1" applyFont="1" applyBorder="1" applyAlignment="1" applyProtection="1">
      <alignment horizontal="left" vertical="center" wrapText="1"/>
      <protection locked="0"/>
    </xf>
    <xf numFmtId="49" fontId="1" fillId="0" borderId="252" xfId="0" applyNumberFormat="1" applyFont="1" applyBorder="1" applyAlignment="1" applyProtection="1">
      <alignment horizontal="left" vertical="center" wrapText="1"/>
      <protection locked="0"/>
    </xf>
    <xf numFmtId="49" fontId="1" fillId="0" borderId="256" xfId="0" applyNumberFormat="1" applyFont="1" applyBorder="1" applyAlignment="1" applyProtection="1">
      <alignment horizontal="left" vertical="center" wrapText="1"/>
      <protection locked="0"/>
    </xf>
    <xf numFmtId="49" fontId="1" fillId="0" borderId="246" xfId="0" applyNumberFormat="1" applyFont="1" applyBorder="1" applyAlignment="1" applyProtection="1">
      <alignment horizontal="left" vertical="center" wrapText="1"/>
      <protection locked="0"/>
    </xf>
    <xf numFmtId="49" fontId="1" fillId="0" borderId="247" xfId="0" applyNumberFormat="1" applyFont="1" applyBorder="1" applyAlignment="1" applyProtection="1">
      <alignment horizontal="left" vertical="center" wrapText="1"/>
      <protection locked="0"/>
    </xf>
    <xf numFmtId="49" fontId="1" fillId="0" borderId="242" xfId="0" applyNumberFormat="1" applyFont="1" applyBorder="1" applyAlignment="1" applyProtection="1">
      <alignment horizontal="left" vertical="center" wrapText="1"/>
      <protection locked="0"/>
    </xf>
    <xf numFmtId="49" fontId="1" fillId="0" borderId="243" xfId="0" applyNumberFormat="1" applyFont="1" applyBorder="1" applyAlignment="1" applyProtection="1">
      <alignment horizontal="left" vertical="center" wrapText="1"/>
      <protection locked="0"/>
    </xf>
    <xf numFmtId="49" fontId="1" fillId="0" borderId="241" xfId="0" applyNumberFormat="1" applyFont="1" applyBorder="1" applyAlignment="1" applyProtection="1">
      <alignment horizontal="left" vertical="center" wrapText="1"/>
      <protection locked="0"/>
    </xf>
    <xf numFmtId="49" fontId="1" fillId="0" borderId="245" xfId="0" applyNumberFormat="1" applyFont="1" applyBorder="1" applyAlignment="1" applyProtection="1">
      <alignment horizontal="left" vertical="center" wrapText="1"/>
      <protection locked="0"/>
    </xf>
    <xf numFmtId="49" fontId="1" fillId="0" borderId="249" xfId="0" applyNumberFormat="1" applyFont="1" applyBorder="1" applyAlignment="1" applyProtection="1">
      <alignment horizontal="left" vertical="center" wrapText="1"/>
      <protection locked="0"/>
    </xf>
    <xf numFmtId="0" fontId="14" fillId="0" borderId="0" xfId="7" applyFont="1" applyAlignment="1">
      <alignment horizontal="left" wrapText="1"/>
    </xf>
    <xf numFmtId="49" fontId="10" fillId="0" borderId="146" xfId="0" applyNumberFormat="1" applyFont="1" applyBorder="1" applyAlignment="1">
      <alignment horizontal="center" vertical="top"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0" fontId="10" fillId="11" borderId="169" xfId="0" applyFont="1" applyFill="1" applyBorder="1" applyAlignment="1">
      <alignment horizontal="center" vertical="center" wrapText="1"/>
    </xf>
    <xf numFmtId="0" fontId="10" fillId="0" borderId="0" xfId="0" applyFont="1" applyAlignment="1">
      <alignment horizontal="left" vertical="center" wrapText="1"/>
    </xf>
    <xf numFmtId="43" fontId="0" fillId="0" borderId="0" xfId="1" applyFont="1" applyFill="1" applyAlignment="1" applyProtection="1">
      <alignment wrapText="1"/>
    </xf>
    <xf numFmtId="9" fontId="0" fillId="0" borderId="0" xfId="2" applyFont="1" applyFill="1" applyAlignment="1" applyProtection="1">
      <alignment wrapText="1"/>
    </xf>
    <xf numFmtId="0" fontId="57" fillId="0" borderId="0" xfId="0" applyFont="1" applyAlignment="1">
      <alignment wrapText="1"/>
    </xf>
    <xf numFmtId="0" fontId="0" fillId="0" borderId="0" xfId="1" applyNumberFormat="1" applyFont="1" applyFill="1" applyAlignment="1" applyProtection="1">
      <alignment wrapText="1"/>
    </xf>
    <xf numFmtId="1" fontId="0" fillId="0" borderId="0" xfId="0" applyNumberFormat="1" applyAlignment="1">
      <alignment wrapText="1"/>
    </xf>
    <xf numFmtId="1" fontId="55" fillId="0" borderId="0" xfId="0" applyNumberFormat="1" applyFont="1" applyAlignment="1">
      <alignment wrapText="1"/>
    </xf>
    <xf numFmtId="10" fontId="0" fillId="0" borderId="0" xfId="2" applyNumberFormat="1" applyFont="1" applyFill="1" applyAlignment="1" applyProtection="1">
      <alignment wrapText="1"/>
    </xf>
    <xf numFmtId="0" fontId="10" fillId="6" borderId="153" xfId="0" applyFont="1" applyFill="1" applyBorder="1" applyAlignment="1">
      <alignment horizontal="center" vertical="center" wrapText="1"/>
    </xf>
    <xf numFmtId="0" fontId="10" fillId="6" borderId="5" xfId="0" applyFont="1" applyFill="1" applyBorder="1" applyAlignment="1">
      <alignment horizontal="center" vertical="center" wrapText="1"/>
    </xf>
    <xf numFmtId="49" fontId="10" fillId="11" borderId="141" xfId="0" applyNumberFormat="1" applyFont="1" applyFill="1" applyBorder="1" applyAlignment="1">
      <alignment vertical="center" wrapText="1"/>
    </xf>
    <xf numFmtId="0" fontId="10" fillId="11" borderId="142" xfId="0" applyFont="1" applyFill="1" applyBorder="1" applyAlignment="1">
      <alignment vertical="center" wrapText="1"/>
    </xf>
    <xf numFmtId="0" fontId="6" fillId="11" borderId="156" xfId="0" applyFont="1" applyFill="1" applyBorder="1" applyAlignment="1">
      <alignment vertical="center" wrapText="1"/>
    </xf>
    <xf numFmtId="43" fontId="10" fillId="11" borderId="164" xfId="1" applyFont="1" applyFill="1" applyBorder="1" applyAlignment="1" applyProtection="1">
      <alignment horizontal="right" vertical="center" wrapText="1"/>
    </xf>
    <xf numFmtId="41" fontId="10" fillId="11" borderId="142" xfId="1" applyNumberFormat="1" applyFont="1" applyFill="1" applyBorder="1" applyAlignment="1" applyProtection="1">
      <alignment horizontal="right" vertical="center" wrapText="1"/>
    </xf>
    <xf numFmtId="43" fontId="10" fillId="11" borderId="142" xfId="1" applyFont="1" applyFill="1" applyBorder="1" applyAlignment="1" applyProtection="1">
      <alignment horizontal="right" vertical="center" wrapText="1"/>
    </xf>
    <xf numFmtId="169" fontId="10" fillId="11" borderId="179" xfId="1" applyNumberFormat="1" applyFont="1" applyFill="1" applyBorder="1" applyAlignment="1" applyProtection="1">
      <alignment horizontal="right" vertical="center" wrapText="1"/>
    </xf>
    <xf numFmtId="168" fontId="10" fillId="11" borderId="164" xfId="1" applyNumberFormat="1" applyFont="1" applyFill="1" applyBorder="1" applyAlignment="1" applyProtection="1">
      <alignment horizontal="right" vertical="center" wrapText="1"/>
    </xf>
    <xf numFmtId="0" fontId="10" fillId="11" borderId="142" xfId="1" applyNumberFormat="1" applyFont="1" applyFill="1" applyBorder="1" applyAlignment="1" applyProtection="1">
      <alignment horizontal="right" vertical="center" wrapText="1"/>
    </xf>
    <xf numFmtId="43" fontId="10" fillId="11" borderId="156" xfId="1" applyFont="1" applyFill="1" applyBorder="1" applyAlignment="1" applyProtection="1">
      <alignment horizontal="right" vertical="center" wrapText="1"/>
    </xf>
    <xf numFmtId="41" fontId="10" fillId="11" borderId="179" xfId="1" applyNumberFormat="1" applyFont="1" applyFill="1" applyBorder="1" applyAlignment="1" applyProtection="1">
      <alignment horizontal="right" vertical="center" wrapText="1"/>
    </xf>
    <xf numFmtId="43" fontId="10" fillId="11" borderId="183" xfId="1" applyFont="1" applyFill="1" applyBorder="1" applyAlignment="1" applyProtection="1">
      <alignment horizontal="right" vertical="center" wrapText="1"/>
    </xf>
    <xf numFmtId="176" fontId="14" fillId="11" borderId="142" xfId="1" applyNumberFormat="1" applyFont="1" applyFill="1" applyBorder="1" applyAlignment="1" applyProtection="1">
      <alignment horizontal="right" vertical="center" wrapText="1"/>
    </xf>
    <xf numFmtId="1" fontId="14" fillId="11" borderId="156" xfId="1" applyNumberFormat="1" applyFont="1" applyFill="1" applyBorder="1" applyAlignment="1" applyProtection="1">
      <alignment horizontal="right" vertical="center" wrapText="1"/>
    </xf>
    <xf numFmtId="10" fontId="10" fillId="11" borderId="179" xfId="2" applyNumberFormat="1" applyFont="1" applyFill="1" applyBorder="1" applyAlignment="1" applyProtection="1">
      <alignment horizontal="right" vertical="center" wrapText="1"/>
    </xf>
    <xf numFmtId="10" fontId="10" fillId="11" borderId="142" xfId="2" applyNumberFormat="1" applyFont="1" applyFill="1" applyBorder="1" applyAlignment="1" applyProtection="1">
      <alignment horizontal="right" vertical="center" wrapText="1"/>
    </xf>
    <xf numFmtId="10" fontId="10" fillId="11" borderId="198" xfId="2" applyNumberFormat="1" applyFont="1" applyFill="1" applyBorder="1" applyAlignment="1" applyProtection="1">
      <alignment horizontal="right" vertical="center" wrapText="1"/>
    </xf>
    <xf numFmtId="0" fontId="34" fillId="0" borderId="0" xfId="0" applyFont="1" applyAlignment="1">
      <alignment wrapText="1"/>
    </xf>
    <xf numFmtId="0" fontId="10" fillId="0" borderId="136" xfId="0" applyFont="1" applyBorder="1" applyAlignment="1">
      <alignment vertical="center" wrapText="1"/>
    </xf>
    <xf numFmtId="0" fontId="10" fillId="0" borderId="170" xfId="0" applyFont="1" applyBorder="1" applyAlignment="1">
      <alignment horizontal="center" vertical="center" wrapText="1"/>
    </xf>
    <xf numFmtId="43" fontId="10" fillId="7" borderId="138" xfId="1" applyFont="1" applyFill="1" applyBorder="1" applyAlignment="1" applyProtection="1">
      <alignment horizontal="center" vertical="center" wrapText="1"/>
    </xf>
    <xf numFmtId="41" fontId="10" fillId="0" borderId="136" xfId="1" applyNumberFormat="1" applyFont="1" applyFill="1" applyBorder="1" applyAlignment="1" applyProtection="1">
      <alignment horizontal="right" vertical="center" wrapText="1"/>
    </xf>
    <xf numFmtId="43" fontId="10" fillId="0" borderId="136" xfId="1" applyFont="1" applyFill="1" applyBorder="1" applyAlignment="1" applyProtection="1">
      <alignment horizontal="right" vertical="center" wrapText="1"/>
    </xf>
    <xf numFmtId="169" fontId="10" fillId="0" borderId="180" xfId="1" applyNumberFormat="1" applyFont="1" applyFill="1" applyBorder="1" applyAlignment="1" applyProtection="1">
      <alignment horizontal="right" vertical="center" wrapText="1"/>
    </xf>
    <xf numFmtId="1" fontId="10" fillId="0" borderId="136" xfId="1" applyNumberFormat="1" applyFont="1" applyFill="1" applyBorder="1" applyAlignment="1" applyProtection="1">
      <alignment horizontal="right" vertical="center" wrapText="1"/>
    </xf>
    <xf numFmtId="43" fontId="10" fillId="0" borderId="137" xfId="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xf>
    <xf numFmtId="41" fontId="10" fillId="0" borderId="180" xfId="1" applyNumberFormat="1" applyFont="1" applyFill="1" applyBorder="1" applyAlignment="1" applyProtection="1">
      <alignment horizontal="right" vertical="center" wrapText="1"/>
    </xf>
    <xf numFmtId="43" fontId="10" fillId="0" borderId="207" xfId="1" applyFont="1" applyFill="1" applyBorder="1" applyAlignment="1" applyProtection="1">
      <alignment horizontal="right" vertical="center" wrapText="1"/>
    </xf>
    <xf numFmtId="176" fontId="14" fillId="0" borderId="136" xfId="1" applyNumberFormat="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xf>
    <xf numFmtId="10" fontId="10" fillId="0" borderId="145" xfId="2" applyNumberFormat="1" applyFont="1" applyFill="1" applyBorder="1" applyAlignment="1" applyProtection="1">
      <alignment horizontal="right" vertical="center" wrapText="1"/>
    </xf>
    <xf numFmtId="0" fontId="6" fillId="0" borderId="137" xfId="0" applyFont="1" applyBorder="1" applyAlignment="1">
      <alignment horizontal="left" vertical="center" wrapText="1"/>
    </xf>
    <xf numFmtId="0" fontId="10" fillId="10" borderId="136" xfId="0" applyFont="1" applyFill="1" applyBorder="1" applyAlignment="1">
      <alignment vertical="center" wrapText="1"/>
    </xf>
    <xf numFmtId="0" fontId="6" fillId="10" borderId="137" xfId="0" applyFont="1" applyFill="1" applyBorder="1" applyAlignment="1">
      <alignment horizontal="right" vertical="center" wrapText="1"/>
    </xf>
    <xf numFmtId="43" fontId="10" fillId="13" borderId="138" xfId="1" applyFont="1" applyFill="1" applyBorder="1" applyAlignment="1" applyProtection="1">
      <alignment horizontal="center" vertical="center" wrapText="1"/>
      <protection locked="0"/>
    </xf>
    <xf numFmtId="41" fontId="10" fillId="10" borderId="136" xfId="1" applyNumberFormat="1" applyFont="1" applyFill="1" applyBorder="1" applyAlignment="1" applyProtection="1">
      <alignment horizontal="right" vertical="center" wrapText="1"/>
      <protection locked="0"/>
    </xf>
    <xf numFmtId="43" fontId="10" fillId="10" borderId="136" xfId="1" applyFont="1" applyFill="1" applyBorder="1" applyAlignment="1" applyProtection="1">
      <alignment horizontal="right" vertical="center" wrapText="1"/>
      <protection locked="0"/>
    </xf>
    <xf numFmtId="169" fontId="10" fillId="10" borderId="180" xfId="1" applyNumberFormat="1" applyFont="1" applyFill="1" applyBorder="1" applyAlignment="1" applyProtection="1">
      <alignment horizontal="right" vertical="center" wrapText="1"/>
      <protection locked="0"/>
    </xf>
    <xf numFmtId="1" fontId="10" fillId="10" borderId="140" xfId="1" applyNumberFormat="1" applyFont="1" applyFill="1" applyBorder="1" applyAlignment="1" applyProtection="1">
      <alignment horizontal="right" vertical="center" wrapText="1"/>
      <protection locked="0"/>
    </xf>
    <xf numFmtId="0" fontId="10" fillId="10" borderId="137" xfId="1" applyNumberFormat="1" applyFont="1" applyFill="1" applyBorder="1" applyAlignment="1" applyProtection="1">
      <alignment horizontal="right" vertical="center" wrapText="1"/>
    </xf>
    <xf numFmtId="10" fontId="10" fillId="10" borderId="137" xfId="2" applyNumberFormat="1" applyFont="1" applyFill="1" applyBorder="1" applyAlignment="1" applyProtection="1">
      <alignment horizontal="right" vertical="center" wrapText="1"/>
      <protection locked="0"/>
    </xf>
    <xf numFmtId="43" fontId="10" fillId="13" borderId="207" xfId="1" applyFont="1" applyFill="1" applyBorder="1" applyAlignment="1" applyProtection="1">
      <alignment horizontal="center" vertical="center" wrapText="1"/>
      <protection locked="0"/>
    </xf>
    <xf numFmtId="41" fontId="10" fillId="10" borderId="180" xfId="1" applyNumberFormat="1" applyFont="1" applyFill="1" applyBorder="1" applyAlignment="1" applyProtection="1">
      <alignment horizontal="right" vertical="center" wrapText="1"/>
      <protection locked="0"/>
    </xf>
    <xf numFmtId="43" fontId="10" fillId="10" borderId="207" xfId="1" applyFont="1" applyFill="1" applyBorder="1" applyAlignment="1" applyProtection="1">
      <alignment horizontal="right" vertical="center" wrapText="1"/>
    </xf>
    <xf numFmtId="41" fontId="10" fillId="10" borderId="136" xfId="1" applyNumberFormat="1" applyFont="1" applyFill="1" applyBorder="1" applyAlignment="1" applyProtection="1">
      <alignment horizontal="right" vertical="center" wrapText="1"/>
    </xf>
    <xf numFmtId="43" fontId="10" fillId="10" borderId="136" xfId="1" applyFont="1" applyFill="1" applyBorder="1" applyAlignment="1" applyProtection="1">
      <alignment horizontal="right" vertical="center" wrapText="1"/>
    </xf>
    <xf numFmtId="1" fontId="14" fillId="10" borderId="136" xfId="1" applyNumberFormat="1" applyFont="1" applyFill="1" applyBorder="1" applyAlignment="1" applyProtection="1">
      <alignment horizontal="right" vertical="center" wrapText="1"/>
      <protection locked="0"/>
    </xf>
    <xf numFmtId="1" fontId="14" fillId="10" borderId="136" xfId="1" applyNumberFormat="1" applyFont="1" applyFill="1" applyBorder="1" applyAlignment="1" applyProtection="1">
      <alignment horizontal="right" vertical="center" wrapText="1"/>
    </xf>
    <xf numFmtId="10" fontId="10" fillId="10" borderId="136" xfId="2" applyNumberFormat="1" applyFont="1" applyFill="1" applyBorder="1" applyAlignment="1" applyProtection="1">
      <alignment horizontal="right" vertical="center" wrapText="1"/>
      <protection locked="0"/>
    </xf>
    <xf numFmtId="10" fontId="10" fillId="10" borderId="145" xfId="2" applyNumberFormat="1" applyFont="1" applyFill="1" applyBorder="1" applyAlignment="1" applyProtection="1">
      <alignment horizontal="right" vertical="center" wrapText="1"/>
      <protection locked="0"/>
    </xf>
    <xf numFmtId="0" fontId="58" fillId="0" borderId="0" xfId="0" applyFont="1" applyAlignment="1">
      <alignment wrapText="1"/>
    </xf>
    <xf numFmtId="1" fontId="10" fillId="10" borderId="136" xfId="1" applyNumberFormat="1" applyFont="1" applyFill="1" applyBorder="1" applyAlignment="1" applyProtection="1">
      <alignment horizontal="right" vertical="center" wrapText="1"/>
      <protection locked="0"/>
    </xf>
    <xf numFmtId="10" fontId="10" fillId="10" borderId="180" xfId="2" applyNumberFormat="1" applyFont="1" applyFill="1" applyBorder="1" applyAlignment="1" applyProtection="1">
      <alignment horizontal="right" vertical="center" wrapText="1"/>
      <protection locked="0"/>
    </xf>
    <xf numFmtId="0" fontId="10" fillId="0" borderId="136" xfId="0" applyFont="1" applyBorder="1" applyAlignment="1">
      <alignment wrapText="1"/>
    </xf>
    <xf numFmtId="0" fontId="10" fillId="0" borderId="137" xfId="0" applyFont="1" applyBorder="1" applyAlignment="1">
      <alignment wrapText="1"/>
    </xf>
    <xf numFmtId="43" fontId="10" fillId="7" borderId="138" xfId="1" applyFont="1" applyFill="1" applyBorder="1" applyAlignment="1" applyProtection="1">
      <alignment horizontal="center" vertical="center" wrapText="1"/>
      <protection locked="0"/>
    </xf>
    <xf numFmtId="41" fontId="10" fillId="0" borderId="136" xfId="1" applyNumberFormat="1" applyFont="1" applyFill="1" applyBorder="1" applyAlignment="1" applyProtection="1">
      <alignment horizontal="right" vertical="center" wrapText="1"/>
      <protection locked="0"/>
    </xf>
    <xf numFmtId="43" fontId="10" fillId="0" borderId="136" xfId="1" applyFont="1" applyFill="1" applyBorder="1" applyAlignment="1" applyProtection="1">
      <alignment horizontal="right" vertical="center" wrapText="1"/>
      <protection locked="0"/>
    </xf>
    <xf numFmtId="169" fontId="10" fillId="0" borderId="180" xfId="1" applyNumberFormat="1" applyFont="1" applyFill="1" applyBorder="1" applyAlignment="1" applyProtection="1">
      <alignment horizontal="right" vertical="center" wrapText="1"/>
      <protection locked="0"/>
    </xf>
    <xf numFmtId="41" fontId="10" fillId="0" borderId="180" xfId="1" applyNumberFormat="1" applyFont="1" applyFill="1" applyBorder="1" applyAlignment="1" applyProtection="1">
      <alignment horizontal="right" vertical="center" wrapText="1"/>
      <protection locked="0"/>
    </xf>
    <xf numFmtId="43" fontId="10" fillId="0" borderId="139" xfId="1" applyFont="1" applyFill="1" applyBorder="1" applyAlignment="1" applyProtection="1">
      <alignment horizontal="right" vertical="center" wrapText="1"/>
      <protection locked="0"/>
    </xf>
    <xf numFmtId="43" fontId="10" fillId="0" borderId="207" xfId="1" applyFont="1" applyFill="1" applyBorder="1" applyAlignment="1" applyProtection="1">
      <alignment horizontal="right" wrapText="1"/>
    </xf>
    <xf numFmtId="41" fontId="10" fillId="0" borderId="136" xfId="1" applyNumberFormat="1" applyFont="1" applyFill="1" applyBorder="1" applyAlignment="1" applyProtection="1">
      <alignment horizontal="right" wrapText="1"/>
    </xf>
    <xf numFmtId="43" fontId="10" fillId="0" borderId="136" xfId="1" applyFont="1" applyFill="1" applyBorder="1" applyAlignment="1" applyProtection="1">
      <alignment horizontal="right" wrapText="1"/>
    </xf>
    <xf numFmtId="41" fontId="10" fillId="0" borderId="137" xfId="1" applyNumberFormat="1" applyFont="1" applyFill="1" applyBorder="1" applyAlignment="1" applyProtection="1">
      <alignment horizontal="right" vertical="center" wrapText="1"/>
      <protection locked="0"/>
    </xf>
    <xf numFmtId="41" fontId="10" fillId="0" borderId="209" xfId="1" applyNumberFormat="1" applyFont="1" applyFill="1" applyBorder="1" applyAlignment="1" applyProtection="1">
      <alignment horizontal="right" vertical="center" wrapText="1"/>
      <protection locked="0"/>
    </xf>
    <xf numFmtId="168" fontId="10" fillId="0" borderId="162" xfId="1" applyNumberFormat="1" applyFont="1" applyFill="1" applyBorder="1" applyAlignment="1" applyProtection="1">
      <alignment horizontal="right" wrapText="1"/>
      <protection locked="0"/>
    </xf>
    <xf numFmtId="43" fontId="10" fillId="7" borderId="191" xfId="1" applyFont="1" applyFill="1" applyBorder="1" applyAlignment="1" applyProtection="1">
      <alignment horizontal="center" vertical="center" wrapText="1"/>
      <protection locked="0"/>
    </xf>
    <xf numFmtId="41" fontId="10" fillId="0" borderId="184" xfId="1" applyNumberFormat="1" applyFont="1" applyFill="1" applyBorder="1" applyAlignment="1" applyProtection="1">
      <alignment horizontal="right" vertical="center" wrapText="1"/>
      <protection locked="0"/>
    </xf>
    <xf numFmtId="43" fontId="10" fillId="0" borderId="184" xfId="1" applyFont="1" applyFill="1" applyBorder="1" applyAlignment="1" applyProtection="1">
      <alignment horizontal="right" vertical="center" wrapText="1"/>
      <protection locked="0"/>
    </xf>
    <xf numFmtId="169" fontId="10" fillId="0" borderId="185" xfId="1" applyNumberFormat="1" applyFont="1" applyFill="1" applyBorder="1" applyAlignment="1" applyProtection="1">
      <alignment horizontal="right" vertical="center" wrapText="1"/>
      <protection locked="0"/>
    </xf>
    <xf numFmtId="41" fontId="10" fillId="0" borderId="185" xfId="1" applyNumberFormat="1" applyFont="1" applyFill="1" applyBorder="1" applyAlignment="1" applyProtection="1">
      <alignment horizontal="right" vertical="center" wrapText="1"/>
      <protection locked="0"/>
    </xf>
    <xf numFmtId="168" fontId="10" fillId="0" borderId="163" xfId="1" applyNumberFormat="1" applyFont="1" applyFill="1" applyBorder="1" applyAlignment="1" applyProtection="1">
      <alignment horizontal="right" wrapText="1"/>
      <protection locked="0"/>
    </xf>
    <xf numFmtId="43" fontId="10" fillId="0" borderId="208" xfId="1" applyFont="1" applyFill="1" applyBorder="1" applyAlignment="1" applyProtection="1">
      <alignment horizontal="right" wrapText="1"/>
    </xf>
    <xf numFmtId="41" fontId="10" fillId="0" borderId="139" xfId="1" applyNumberFormat="1" applyFont="1" applyFill="1" applyBorder="1" applyAlignment="1" applyProtection="1">
      <alignment horizontal="right" wrapText="1"/>
    </xf>
    <xf numFmtId="43" fontId="10" fillId="0" borderId="184" xfId="1" applyFont="1" applyFill="1" applyBorder="1" applyAlignment="1" applyProtection="1">
      <alignment horizontal="right" wrapText="1"/>
    </xf>
    <xf numFmtId="41" fontId="10" fillId="0" borderId="184" xfId="1" applyNumberFormat="1" applyFont="1" applyFill="1" applyBorder="1" applyAlignment="1" applyProtection="1">
      <alignment horizontal="right" wrapText="1"/>
    </xf>
    <xf numFmtId="0" fontId="10" fillId="0" borderId="147" xfId="0" applyFont="1" applyBorder="1" applyAlignment="1">
      <alignment wrapText="1"/>
    </xf>
    <xf numFmtId="0" fontId="10" fillId="0" borderId="160" xfId="0" applyFont="1" applyBorder="1" applyAlignment="1">
      <alignment wrapText="1"/>
    </xf>
    <xf numFmtId="43" fontId="10" fillId="7" borderId="174" xfId="1" applyFont="1" applyFill="1" applyBorder="1" applyAlignment="1" applyProtection="1">
      <alignment horizontal="center" vertical="center" wrapText="1"/>
      <protection locked="0"/>
    </xf>
    <xf numFmtId="41" fontId="10" fillId="0" borderId="186" xfId="1" applyNumberFormat="1" applyFont="1" applyFill="1" applyBorder="1" applyAlignment="1" applyProtection="1">
      <alignment horizontal="right" vertical="center" wrapText="1"/>
      <protection locked="0"/>
    </xf>
    <xf numFmtId="43" fontId="10" fillId="0" borderId="192" xfId="1" applyFont="1" applyFill="1" applyBorder="1" applyAlignment="1" applyProtection="1">
      <alignment wrapText="1"/>
      <protection locked="0"/>
    </xf>
    <xf numFmtId="169" fontId="10" fillId="0" borderId="175" xfId="1" applyNumberFormat="1" applyFont="1" applyFill="1" applyBorder="1" applyAlignment="1" applyProtection="1">
      <alignment wrapText="1"/>
      <protection locked="0"/>
    </xf>
    <xf numFmtId="43" fontId="10" fillId="0" borderId="218" xfId="1" applyNumberFormat="1" applyFont="1" applyFill="1" applyBorder="1" applyAlignment="1" applyProtection="1">
      <alignment horizontal="right" wrapText="1"/>
      <protection locked="0"/>
    </xf>
    <xf numFmtId="41" fontId="10" fillId="0" borderId="175" xfId="1" applyNumberFormat="1" applyFont="1" applyFill="1" applyBorder="1" applyAlignment="1" applyProtection="1">
      <alignment horizontal="right" wrapText="1"/>
      <protection locked="0"/>
    </xf>
    <xf numFmtId="43" fontId="10" fillId="0" borderId="104" xfId="1" applyNumberFormat="1" applyFont="1" applyFill="1" applyBorder="1" applyAlignment="1" applyProtection="1">
      <alignment horizontal="right" wrapText="1"/>
    </xf>
    <xf numFmtId="43" fontId="10" fillId="0" borderId="192" xfId="1" applyFont="1" applyFill="1" applyBorder="1" applyAlignment="1" applyProtection="1">
      <alignment horizontal="right" wrapText="1"/>
    </xf>
    <xf numFmtId="41" fontId="10" fillId="0" borderId="186" xfId="1" applyNumberFormat="1" applyFont="1" applyFill="1" applyBorder="1" applyAlignment="1" applyProtection="1">
      <alignment horizontal="right" wrapText="1"/>
    </xf>
    <xf numFmtId="0" fontId="10" fillId="6" borderId="194" xfId="0" applyFont="1" applyFill="1" applyBorder="1" applyAlignment="1">
      <alignment vertical="center" wrapText="1"/>
    </xf>
    <xf numFmtId="43" fontId="10" fillId="6" borderId="217" xfId="1" applyFont="1" applyFill="1" applyBorder="1" applyAlignment="1" applyProtection="1">
      <alignment horizontal="right" vertical="center" wrapText="1"/>
    </xf>
    <xf numFmtId="41" fontId="10" fillId="6" borderId="216" xfId="1" applyNumberFormat="1" applyFont="1" applyFill="1" applyBorder="1" applyAlignment="1" applyProtection="1">
      <alignment horizontal="right" vertical="center" wrapText="1"/>
    </xf>
    <xf numFmtId="43" fontId="10" fillId="6" borderId="215" xfId="1" applyFont="1" applyFill="1" applyBorder="1" applyAlignment="1" applyProtection="1">
      <alignment horizontal="right" vertical="center" wrapText="1"/>
    </xf>
    <xf numFmtId="41" fontId="10" fillId="6" borderId="222" xfId="1" applyNumberFormat="1" applyFont="1" applyFill="1" applyBorder="1" applyAlignment="1" applyProtection="1">
      <alignment horizontal="right" vertical="center" wrapText="1"/>
    </xf>
    <xf numFmtId="43" fontId="10" fillId="6" borderId="216" xfId="1" applyFont="1" applyFill="1" applyBorder="1" applyAlignment="1" applyProtection="1">
      <alignment horizontal="right" vertical="center" wrapText="1"/>
    </xf>
    <xf numFmtId="10" fontId="10" fillId="6" borderId="222" xfId="2" applyNumberFormat="1" applyFont="1" applyFill="1" applyBorder="1" applyAlignment="1" applyProtection="1">
      <alignment horizontal="right" vertical="center" wrapText="1"/>
    </xf>
    <xf numFmtId="41" fontId="10" fillId="6" borderId="219" xfId="1" applyNumberFormat="1" applyFont="1" applyFill="1" applyBorder="1" applyAlignment="1" applyProtection="1">
      <alignment horizontal="right" vertical="center" wrapText="1"/>
    </xf>
    <xf numFmtId="41" fontId="10" fillId="6" borderId="215" xfId="1" applyNumberFormat="1" applyFont="1" applyFill="1" applyBorder="1" applyAlignment="1" applyProtection="1">
      <alignment horizontal="right" vertical="center" wrapText="1"/>
    </xf>
    <xf numFmtId="43" fontId="10" fillId="6" borderId="194" xfId="1" applyFont="1" applyFill="1" applyBorder="1" applyAlignment="1" applyProtection="1">
      <alignment horizontal="right" vertical="center" wrapText="1"/>
    </xf>
    <xf numFmtId="41" fontId="10" fillId="6" borderId="194" xfId="1" applyNumberFormat="1" applyFont="1" applyFill="1" applyBorder="1" applyAlignment="1" applyProtection="1">
      <alignment horizontal="right" vertical="center" wrapText="1"/>
    </xf>
    <xf numFmtId="1" fontId="14" fillId="6" borderId="197" xfId="1" applyNumberFormat="1" applyFont="1" applyFill="1" applyBorder="1" applyAlignment="1" applyProtection="1">
      <alignment horizontal="right" vertical="center" wrapText="1"/>
    </xf>
    <xf numFmtId="43" fontId="14" fillId="6" borderId="214" xfId="1" applyFont="1" applyFill="1" applyBorder="1" applyAlignment="1" applyProtection="1">
      <alignment horizontal="right" vertical="center" wrapText="1"/>
    </xf>
    <xf numFmtId="10" fontId="10" fillId="6" borderId="194" xfId="2" applyNumberFormat="1" applyFont="1" applyFill="1" applyBorder="1" applyAlignment="1" applyProtection="1">
      <alignment horizontal="right" vertical="center" wrapText="1"/>
    </xf>
    <xf numFmtId="10" fontId="10" fillId="6" borderId="195" xfId="2" applyNumberFormat="1" applyFont="1" applyFill="1" applyBorder="1" applyAlignment="1" applyProtection="1">
      <alignment horizontal="right" vertical="center" wrapText="1"/>
    </xf>
    <xf numFmtId="0" fontId="10" fillId="0" borderId="140" xfId="0" applyFont="1" applyBorder="1" applyAlignment="1">
      <alignment vertical="center" wrapText="1"/>
    </xf>
    <xf numFmtId="43" fontId="10" fillId="7" borderId="167" xfId="1" applyFont="1" applyFill="1" applyBorder="1" applyAlignment="1" applyProtection="1">
      <alignment horizontal="center" vertical="center" wrapText="1"/>
      <protection locked="0"/>
    </xf>
    <xf numFmtId="41" fontId="10" fillId="0" borderId="159" xfId="1" applyNumberFormat="1" applyFont="1" applyFill="1" applyBorder="1" applyAlignment="1" applyProtection="1">
      <alignment horizontal="right" vertical="center" wrapText="1"/>
      <protection locked="0"/>
    </xf>
    <xf numFmtId="43" fontId="10" fillId="0" borderId="140" xfId="1" applyFont="1" applyFill="1" applyBorder="1" applyAlignment="1" applyProtection="1">
      <alignment horizontal="right" vertical="center" wrapText="1"/>
      <protection locked="0"/>
    </xf>
    <xf numFmtId="41" fontId="10" fillId="0" borderId="220" xfId="1" applyNumberFormat="1" applyFont="1" applyFill="1" applyBorder="1" applyAlignment="1" applyProtection="1">
      <alignment horizontal="right" vertical="center" wrapText="1"/>
      <protection locked="0"/>
    </xf>
    <xf numFmtId="168" fontId="10" fillId="0" borderId="167" xfId="1" applyNumberFormat="1" applyFont="1" applyFill="1" applyBorder="1" applyAlignment="1" applyProtection="1">
      <alignment horizontal="right" vertical="center" wrapText="1"/>
      <protection locked="0"/>
    </xf>
    <xf numFmtId="0" fontId="10" fillId="0" borderId="140" xfId="1" applyNumberFormat="1" applyFont="1" applyFill="1" applyBorder="1" applyAlignment="1" applyProtection="1">
      <alignment horizontal="right" vertical="center" wrapText="1"/>
      <protection locked="0"/>
    </xf>
    <xf numFmtId="0" fontId="10" fillId="0" borderId="159" xfId="1" applyNumberFormat="1" applyFont="1" applyFill="1" applyBorder="1" applyAlignment="1" applyProtection="1">
      <alignment horizontal="right" vertical="center" wrapText="1"/>
    </xf>
    <xf numFmtId="10" fontId="10" fillId="0" borderId="220" xfId="2" applyNumberFormat="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xf>
    <xf numFmtId="41" fontId="10" fillId="0" borderId="140" xfId="1" applyNumberFormat="1" applyFont="1" applyFill="1" applyBorder="1" applyAlignment="1" applyProtection="1">
      <alignment horizontal="right" vertical="center" wrapText="1"/>
    </xf>
    <xf numFmtId="43" fontId="10" fillId="0" borderId="140" xfId="1" applyFont="1" applyFill="1" applyBorder="1" applyAlignment="1" applyProtection="1">
      <alignment horizontal="right" vertical="center" wrapText="1"/>
    </xf>
    <xf numFmtId="1" fontId="14" fillId="0" borderId="140" xfId="1" applyNumberFormat="1" applyFont="1" applyFill="1" applyBorder="1" applyAlignment="1" applyProtection="1">
      <alignment horizontal="right" vertical="center" wrapText="1"/>
      <protection locked="0"/>
    </xf>
    <xf numFmtId="43" fontId="14" fillId="0" borderId="140" xfId="1" applyFont="1" applyFill="1" applyBorder="1" applyAlignment="1" applyProtection="1">
      <alignment horizontal="right" vertical="center" wrapText="1"/>
    </xf>
    <xf numFmtId="10" fontId="10" fillId="0" borderId="140" xfId="2" applyNumberFormat="1" applyFont="1" applyFill="1" applyBorder="1" applyAlignment="1" applyProtection="1">
      <alignment horizontal="right" vertical="center" wrapText="1"/>
      <protection locked="0"/>
    </xf>
    <xf numFmtId="10" fontId="10" fillId="0" borderId="152" xfId="2" applyNumberFormat="1" applyFont="1" applyFill="1" applyBorder="1" applyAlignment="1" applyProtection="1">
      <alignment horizontal="right" vertical="center" wrapText="1"/>
      <protection locked="0"/>
    </xf>
    <xf numFmtId="168" fontId="10" fillId="0" borderId="138" xfId="1" applyNumberFormat="1" applyFont="1" applyFill="1" applyBorder="1" applyAlignment="1" applyProtection="1">
      <alignment horizontal="right" vertical="center" wrapText="1"/>
      <protection locked="0"/>
    </xf>
    <xf numFmtId="0" fontId="10" fillId="0" borderId="136" xfId="1" applyNumberFormat="1" applyFont="1" applyFill="1" applyBorder="1" applyAlignment="1" applyProtection="1">
      <alignment horizontal="right" vertical="center" wrapText="1"/>
      <protection locked="0"/>
    </xf>
    <xf numFmtId="0" fontId="10" fillId="0" borderId="137" xfId="1" applyNumberFormat="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protection locked="0"/>
    </xf>
    <xf numFmtId="10" fontId="10" fillId="0" borderId="145" xfId="2" applyNumberFormat="1" applyFont="1" applyFill="1" applyBorder="1" applyAlignment="1" applyProtection="1">
      <alignment horizontal="right" vertical="center" wrapText="1"/>
      <protection locked="0"/>
    </xf>
    <xf numFmtId="0" fontId="10" fillId="0" borderId="139" xfId="0" applyFont="1" applyBorder="1" applyAlignment="1">
      <alignment vertical="center" wrapText="1"/>
    </xf>
    <xf numFmtId="0" fontId="6" fillId="0" borderId="157" xfId="0" applyFont="1" applyBorder="1" applyAlignment="1">
      <alignment horizontal="left" vertical="center" wrapText="1"/>
    </xf>
    <xf numFmtId="43" fontId="10" fillId="7" borderId="165" xfId="1" applyFont="1" applyFill="1" applyBorder="1" applyAlignment="1" applyProtection="1">
      <alignment horizontal="center" vertical="center" wrapText="1"/>
      <protection locked="0"/>
    </xf>
    <xf numFmtId="41" fontId="10" fillId="0" borderId="157" xfId="1" applyNumberFormat="1" applyFont="1" applyFill="1" applyBorder="1" applyAlignment="1" applyProtection="1">
      <alignment horizontal="right" vertical="center" wrapText="1"/>
      <protection locked="0"/>
    </xf>
    <xf numFmtId="41" fontId="10" fillId="0" borderId="177" xfId="1" applyNumberFormat="1" applyFont="1" applyFill="1" applyBorder="1" applyAlignment="1" applyProtection="1">
      <alignment horizontal="right" vertical="center" wrapText="1"/>
      <protection locked="0"/>
    </xf>
    <xf numFmtId="168" fontId="10" fillId="0" borderId="165" xfId="1" applyNumberFormat="1" applyFont="1" applyFill="1" applyBorder="1" applyAlignment="1" applyProtection="1">
      <alignment horizontal="right" vertical="center" wrapText="1"/>
      <protection locked="0"/>
    </xf>
    <xf numFmtId="0" fontId="10" fillId="0" borderId="139" xfId="1" applyNumberFormat="1" applyFont="1" applyFill="1" applyBorder="1" applyAlignment="1" applyProtection="1">
      <alignment horizontal="right" vertical="center" wrapText="1"/>
      <protection locked="0"/>
    </xf>
    <xf numFmtId="0" fontId="10" fillId="0" borderId="157" xfId="1" applyNumberFormat="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vertical="center" wrapText="1"/>
      <protection locked="0"/>
    </xf>
    <xf numFmtId="43" fontId="10" fillId="0" borderId="165" xfId="1" applyFont="1" applyFill="1" applyBorder="1" applyAlignment="1" applyProtection="1">
      <alignment horizontal="right" vertical="center" wrapText="1"/>
      <protection locked="0"/>
    </xf>
    <xf numFmtId="43" fontId="10" fillId="0" borderId="191" xfId="1" applyFont="1" applyFill="1" applyBorder="1" applyAlignment="1" applyProtection="1">
      <alignment horizontal="right" vertical="center" wrapText="1"/>
    </xf>
    <xf numFmtId="41" fontId="10" fillId="0" borderId="184" xfId="1" applyNumberFormat="1" applyFont="1" applyFill="1" applyBorder="1" applyAlignment="1" applyProtection="1">
      <alignment horizontal="right" vertical="center" wrapText="1"/>
    </xf>
    <xf numFmtId="43" fontId="10" fillId="0" borderId="184" xfId="1" applyFont="1" applyFill="1" applyBorder="1" applyAlignment="1" applyProtection="1">
      <alignment horizontal="right" vertical="center" wrapText="1"/>
    </xf>
    <xf numFmtId="1" fontId="14" fillId="0" borderId="184" xfId="1" applyNumberFormat="1" applyFont="1" applyFill="1" applyBorder="1" applyAlignment="1" applyProtection="1">
      <alignment horizontal="right" vertical="center" wrapText="1"/>
      <protection locked="0"/>
    </xf>
    <xf numFmtId="43" fontId="14" fillId="0" borderId="184" xfId="1" applyFont="1" applyFill="1" applyBorder="1" applyAlignment="1" applyProtection="1">
      <alignment horizontal="right" vertical="center" wrapText="1"/>
    </xf>
    <xf numFmtId="10" fontId="10" fillId="0" borderId="184" xfId="2" applyNumberFormat="1" applyFont="1" applyFill="1" applyBorder="1" applyAlignment="1" applyProtection="1">
      <alignment horizontal="right" vertical="center" wrapText="1"/>
      <protection locked="0"/>
    </xf>
    <xf numFmtId="10" fontId="10" fillId="0" borderId="193" xfId="2" applyNumberFormat="1" applyFont="1" applyFill="1" applyBorder="1" applyAlignment="1" applyProtection="1">
      <alignment horizontal="right" vertical="center" wrapText="1"/>
      <protection locked="0"/>
    </xf>
    <xf numFmtId="0" fontId="10" fillId="6" borderId="197" xfId="0" applyFont="1" applyFill="1" applyBorder="1" applyAlignment="1">
      <alignment vertical="center" wrapText="1"/>
    </xf>
    <xf numFmtId="43" fontId="10" fillId="6" borderId="205" xfId="1" applyFont="1" applyFill="1" applyBorder="1" applyAlignment="1" applyProtection="1">
      <alignment horizontal="right" vertical="center" wrapText="1"/>
    </xf>
    <xf numFmtId="41" fontId="10" fillId="6" borderId="213" xfId="1" applyNumberFormat="1" applyFont="1" applyFill="1" applyBorder="1" applyAlignment="1" applyProtection="1">
      <alignment horizontal="right" vertical="center" wrapText="1"/>
    </xf>
    <xf numFmtId="43" fontId="10" fillId="6" borderId="197" xfId="1" applyFont="1" applyFill="1" applyBorder="1" applyAlignment="1" applyProtection="1">
      <alignment horizontal="right" vertical="center" wrapText="1"/>
    </xf>
    <xf numFmtId="41" fontId="10" fillId="6" borderId="202" xfId="1" applyNumberFormat="1" applyFont="1" applyFill="1" applyBorder="1" applyAlignment="1" applyProtection="1">
      <alignment horizontal="right" vertical="center" wrapText="1"/>
    </xf>
    <xf numFmtId="43" fontId="10" fillId="6" borderId="213" xfId="1" applyFont="1" applyFill="1" applyBorder="1" applyAlignment="1" applyProtection="1">
      <alignment horizontal="right" vertical="center" wrapText="1"/>
    </xf>
    <xf numFmtId="43" fontId="10" fillId="6" borderId="97" xfId="1" applyFont="1" applyFill="1" applyBorder="1" applyAlignment="1" applyProtection="1">
      <alignment horizontal="right" vertical="center" wrapText="1"/>
    </xf>
    <xf numFmtId="10" fontId="10" fillId="6" borderId="118" xfId="2" applyNumberFormat="1" applyFont="1" applyFill="1" applyBorder="1" applyAlignment="1" applyProtection="1">
      <alignment horizontal="right" vertical="center" wrapText="1"/>
    </xf>
    <xf numFmtId="41" fontId="10" fillId="6" borderId="197" xfId="1" applyNumberFormat="1" applyFont="1" applyFill="1" applyBorder="1" applyAlignment="1" applyProtection="1">
      <alignment horizontal="right" vertical="center" wrapText="1"/>
    </xf>
    <xf numFmtId="43" fontId="14" fillId="6" borderId="216" xfId="1" applyFont="1" applyFill="1" applyBorder="1" applyAlignment="1" applyProtection="1">
      <alignment horizontal="right" vertical="center" wrapText="1"/>
    </xf>
    <xf numFmtId="10" fontId="10" fillId="6" borderId="219" xfId="2" applyNumberFormat="1" applyFont="1" applyFill="1" applyBorder="1" applyAlignment="1" applyProtection="1">
      <alignment horizontal="right" vertical="center" wrapText="1"/>
    </xf>
    <xf numFmtId="10" fontId="10" fillId="6" borderId="197" xfId="2" applyNumberFormat="1" applyFont="1" applyFill="1" applyBorder="1" applyAlignment="1" applyProtection="1">
      <alignment horizontal="right" vertical="center" wrapText="1"/>
    </xf>
    <xf numFmtId="10" fontId="10" fillId="6" borderId="198" xfId="2" applyNumberFormat="1" applyFont="1" applyFill="1" applyBorder="1" applyAlignment="1" applyProtection="1">
      <alignment horizontal="right" vertical="center" wrapText="1"/>
    </xf>
    <xf numFmtId="0" fontId="10" fillId="0" borderId="140" xfId="0" applyFont="1" applyBorder="1" applyAlignment="1">
      <alignment wrapText="1"/>
    </xf>
    <xf numFmtId="168" fontId="10" fillId="0" borderId="167" xfId="1" applyNumberFormat="1" applyFont="1" applyFill="1" applyBorder="1" applyAlignment="1" applyProtection="1">
      <alignment horizontal="right" wrapText="1"/>
      <protection locked="0"/>
    </xf>
    <xf numFmtId="0" fontId="10" fillId="0" borderId="140" xfId="1" applyNumberFormat="1" applyFont="1" applyFill="1" applyBorder="1" applyAlignment="1" applyProtection="1">
      <alignment horizontal="right" wrapText="1"/>
      <protection locked="0"/>
    </xf>
    <xf numFmtId="0" fontId="10" fillId="0" borderId="159" xfId="1" applyNumberFormat="1" applyFont="1" applyFill="1" applyBorder="1" applyAlignment="1" applyProtection="1">
      <alignment horizontal="right" wrapText="1"/>
    </xf>
    <xf numFmtId="10" fontId="10" fillId="0" borderId="220" xfId="2" applyNumberFormat="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xf>
    <xf numFmtId="41" fontId="10" fillId="0" borderId="140" xfId="1" applyNumberFormat="1" applyFont="1" applyFill="1" applyBorder="1" applyAlignment="1" applyProtection="1">
      <alignment horizontal="right" wrapText="1"/>
    </xf>
    <xf numFmtId="43" fontId="10" fillId="0" borderId="140" xfId="1" applyFont="1" applyFill="1" applyBorder="1" applyAlignment="1" applyProtection="1">
      <alignment horizontal="right" wrapText="1"/>
    </xf>
    <xf numFmtId="1" fontId="14" fillId="0" borderId="140" xfId="1" applyNumberFormat="1" applyFont="1" applyFill="1" applyBorder="1" applyAlignment="1" applyProtection="1">
      <alignment horizontal="right" wrapText="1"/>
      <protection locked="0"/>
    </xf>
    <xf numFmtId="43" fontId="14" fillId="0" borderId="140" xfId="1" applyFont="1" applyFill="1" applyBorder="1" applyAlignment="1" applyProtection="1">
      <alignment horizontal="right" wrapText="1"/>
    </xf>
    <xf numFmtId="10" fontId="10" fillId="0" borderId="140" xfId="2" applyNumberFormat="1" applyFont="1" applyFill="1" applyBorder="1" applyAlignment="1" applyProtection="1">
      <alignment horizontal="right" wrapText="1"/>
      <protection locked="0"/>
    </xf>
    <xf numFmtId="10" fontId="10" fillId="0" borderId="152" xfId="2" applyNumberFormat="1" applyFont="1" applyFill="1" applyBorder="1" applyAlignment="1" applyProtection="1">
      <alignment horizontal="right" wrapText="1"/>
      <protection locked="0"/>
    </xf>
    <xf numFmtId="168" fontId="10" fillId="0" borderId="138" xfId="1" applyNumberFormat="1" applyFont="1" applyFill="1" applyBorder="1" applyAlignment="1" applyProtection="1">
      <alignment horizontal="right" wrapText="1"/>
      <protection locked="0"/>
    </xf>
    <xf numFmtId="0" fontId="10" fillId="0" borderId="136" xfId="1" applyNumberFormat="1" applyFont="1" applyFill="1" applyBorder="1" applyAlignment="1" applyProtection="1">
      <alignment horizontal="right" wrapText="1"/>
      <protection locked="0"/>
    </xf>
    <xf numFmtId="0" fontId="10" fillId="0" borderId="137" xfId="1" applyNumberFormat="1" applyFont="1" applyFill="1" applyBorder="1" applyAlignment="1" applyProtection="1">
      <alignment horizontal="right" wrapText="1"/>
    </xf>
    <xf numFmtId="10" fontId="10" fillId="0" borderId="180" xfId="2" applyNumberFormat="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xf>
    <xf numFmtId="1" fontId="14" fillId="0" borderId="136" xfId="1" applyNumberFormat="1" applyFont="1" applyFill="1" applyBorder="1" applyAlignment="1" applyProtection="1">
      <alignment horizontal="right" wrapText="1"/>
      <protection locked="0"/>
    </xf>
    <xf numFmtId="43" fontId="14" fillId="0" borderId="136" xfId="1" applyFont="1" applyFill="1" applyBorder="1" applyAlignment="1" applyProtection="1">
      <alignment horizontal="right" wrapText="1"/>
    </xf>
    <xf numFmtId="10" fontId="10" fillId="0" borderId="136" xfId="2" applyNumberFormat="1" applyFont="1" applyFill="1" applyBorder="1" applyAlignment="1" applyProtection="1">
      <alignment horizontal="right" wrapText="1"/>
      <protection locked="0"/>
    </xf>
    <xf numFmtId="10" fontId="10" fillId="0" borderId="145" xfId="2" applyNumberFormat="1" applyFont="1" applyFill="1" applyBorder="1" applyAlignment="1" applyProtection="1">
      <alignment horizontal="right" wrapText="1"/>
      <protection locked="0"/>
    </xf>
    <xf numFmtId="0" fontId="10" fillId="0" borderId="184" xfId="0" applyFont="1" applyBorder="1" applyAlignment="1">
      <alignment wrapText="1"/>
    </xf>
    <xf numFmtId="168" fontId="10" fillId="0" borderId="165" xfId="1" applyNumberFormat="1" applyFont="1" applyFill="1" applyBorder="1" applyAlignment="1" applyProtection="1">
      <alignment horizontal="right" wrapText="1"/>
      <protection locked="0"/>
    </xf>
    <xf numFmtId="0" fontId="10" fillId="0" borderId="139" xfId="1" applyNumberFormat="1" applyFont="1" applyFill="1" applyBorder="1" applyAlignment="1" applyProtection="1">
      <alignment horizontal="right" wrapText="1"/>
      <protection locked="0"/>
    </xf>
    <xf numFmtId="0" fontId="10" fillId="0" borderId="157" xfId="1" applyNumberFormat="1" applyFont="1" applyFill="1" applyBorder="1" applyAlignment="1" applyProtection="1">
      <alignment horizontal="right" wrapText="1"/>
    </xf>
    <xf numFmtId="10" fontId="10" fillId="0" borderId="177" xfId="2" applyNumberFormat="1" applyFont="1" applyFill="1" applyBorder="1" applyAlignment="1" applyProtection="1">
      <alignment horizontal="right" wrapText="1"/>
      <protection locked="0"/>
    </xf>
    <xf numFmtId="43" fontId="10" fillId="0" borderId="165" xfId="1" applyFont="1" applyFill="1" applyBorder="1" applyAlignment="1" applyProtection="1">
      <alignment horizontal="right" wrapText="1"/>
      <protection locked="0"/>
    </xf>
    <xf numFmtId="43" fontId="10" fillId="0" borderId="191" xfId="1" applyFont="1" applyFill="1" applyBorder="1" applyAlignment="1" applyProtection="1">
      <alignment horizontal="right" wrapText="1"/>
    </xf>
    <xf numFmtId="1" fontId="14" fillId="0" borderId="184" xfId="1" applyNumberFormat="1" applyFont="1" applyFill="1" applyBorder="1" applyAlignment="1" applyProtection="1">
      <alignment horizontal="right" wrapText="1"/>
      <protection locked="0"/>
    </xf>
    <xf numFmtId="43" fontId="14" fillId="0" borderId="184" xfId="1" applyFont="1" applyFill="1" applyBorder="1" applyAlignment="1" applyProtection="1">
      <alignment horizontal="right" wrapText="1"/>
    </xf>
    <xf numFmtId="10" fontId="10" fillId="0" borderId="184" xfId="2" applyNumberFormat="1" applyFont="1" applyFill="1" applyBorder="1" applyAlignment="1" applyProtection="1">
      <alignment horizontal="right" wrapText="1"/>
      <protection locked="0"/>
    </xf>
    <xf numFmtId="10" fontId="10" fillId="0" borderId="193" xfId="2" applyNumberFormat="1" applyFont="1" applyFill="1" applyBorder="1" applyAlignment="1" applyProtection="1">
      <alignment horizontal="right" wrapText="1"/>
      <protection locked="0"/>
    </xf>
    <xf numFmtId="0" fontId="10" fillId="6" borderId="202" xfId="0" applyFont="1" applyFill="1" applyBorder="1" applyAlignment="1">
      <alignment vertical="center" wrapText="1"/>
    </xf>
    <xf numFmtId="0" fontId="6" fillId="6" borderId="127" xfId="0" applyFont="1" applyFill="1" applyBorder="1" applyAlignment="1">
      <alignment vertical="center" wrapText="1"/>
    </xf>
    <xf numFmtId="10" fontId="10" fillId="6" borderId="202" xfId="2" applyNumberFormat="1" applyFont="1" applyFill="1" applyBorder="1" applyAlignment="1" applyProtection="1">
      <alignment horizontal="right" vertical="center" wrapText="1"/>
    </xf>
    <xf numFmtId="0" fontId="10" fillId="0" borderId="139" xfId="0" applyFont="1" applyBorder="1" applyAlignment="1">
      <alignment wrapText="1"/>
    </xf>
    <xf numFmtId="0" fontId="10" fillId="6" borderId="201" xfId="0" applyFont="1" applyFill="1" applyBorder="1" applyAlignment="1">
      <alignment vertical="center" wrapText="1"/>
    </xf>
    <xf numFmtId="43" fontId="10" fillId="0" borderId="165" xfId="1" applyFont="1" applyFill="1" applyBorder="1" applyAlignment="1" applyProtection="1">
      <alignment horizontal="right" wrapText="1"/>
    </xf>
    <xf numFmtId="43" fontId="10" fillId="0" borderId="139" xfId="1" applyFont="1" applyFill="1" applyBorder="1" applyAlignment="1" applyProtection="1">
      <alignment horizontal="right" wrapText="1"/>
    </xf>
    <xf numFmtId="1" fontId="14" fillId="0" borderId="139" xfId="1" applyNumberFormat="1" applyFont="1" applyFill="1" applyBorder="1" applyAlignment="1" applyProtection="1">
      <alignment horizontal="right" wrapText="1"/>
      <protection locked="0"/>
    </xf>
    <xf numFmtId="43" fontId="14" fillId="0" borderId="139" xfId="1" applyFont="1" applyFill="1" applyBorder="1" applyAlignment="1" applyProtection="1">
      <alignment horizontal="right" wrapText="1"/>
    </xf>
    <xf numFmtId="10" fontId="10" fillId="0" borderId="139" xfId="2" applyNumberFormat="1" applyFont="1" applyFill="1" applyBorder="1" applyAlignment="1" applyProtection="1">
      <alignment horizontal="right" wrapText="1"/>
      <protection locked="0"/>
    </xf>
    <xf numFmtId="10" fontId="10" fillId="0" borderId="150" xfId="2" applyNumberFormat="1" applyFont="1" applyFill="1" applyBorder="1" applyAlignment="1" applyProtection="1">
      <alignment horizontal="right" wrapText="1"/>
      <protection locked="0"/>
    </xf>
    <xf numFmtId="43" fontId="14" fillId="6" borderId="97" xfId="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wrapText="1"/>
      <protection locked="0"/>
    </xf>
    <xf numFmtId="43" fontId="14" fillId="6" borderId="213" xfId="1" applyFont="1" applyFill="1" applyBorder="1" applyAlignment="1" applyProtection="1">
      <alignment horizontal="right" vertical="center" wrapText="1"/>
    </xf>
    <xf numFmtId="0" fontId="10" fillId="0" borderId="167" xfId="0" applyFont="1" applyBorder="1" applyAlignment="1">
      <alignment wrapText="1"/>
    </xf>
    <xf numFmtId="41" fontId="10" fillId="0" borderId="206" xfId="1" applyNumberFormat="1" applyFont="1" applyFill="1" applyBorder="1" applyAlignment="1" applyProtection="1">
      <alignment horizontal="right" vertical="center" wrapText="1"/>
      <protection locked="0"/>
    </xf>
    <xf numFmtId="0" fontId="10" fillId="0" borderId="138" xfId="0" applyFont="1" applyBorder="1" applyAlignment="1">
      <alignment wrapText="1"/>
    </xf>
    <xf numFmtId="0" fontId="10" fillId="0" borderId="165" xfId="0" applyFont="1" applyBorder="1" applyAlignment="1">
      <alignment wrapText="1"/>
    </xf>
    <xf numFmtId="41" fontId="10" fillId="0" borderId="212" xfId="1" applyNumberFormat="1" applyFont="1" applyFill="1" applyBorder="1" applyAlignment="1" applyProtection="1">
      <alignment horizontal="right" vertical="center" wrapText="1"/>
      <protection locked="0"/>
    </xf>
    <xf numFmtId="168" fontId="10" fillId="0" borderId="191" xfId="1" applyNumberFormat="1" applyFont="1" applyFill="1" applyBorder="1" applyAlignment="1" applyProtection="1">
      <alignment horizontal="right" wrapText="1"/>
      <protection locked="0"/>
    </xf>
    <xf numFmtId="0" fontId="10" fillId="0" borderId="184" xfId="1" applyNumberFormat="1" applyFont="1" applyFill="1" applyBorder="1" applyAlignment="1" applyProtection="1">
      <alignment horizontal="right" wrapText="1"/>
      <protection locked="0"/>
    </xf>
    <xf numFmtId="0" fontId="10" fillId="0" borderId="212" xfId="1" applyNumberFormat="1" applyFont="1" applyFill="1" applyBorder="1" applyAlignment="1" applyProtection="1">
      <alignment horizontal="right" wrapText="1"/>
    </xf>
    <xf numFmtId="43" fontId="10" fillId="0" borderId="191" xfId="1" applyFont="1" applyFill="1" applyBorder="1" applyAlignment="1" applyProtection="1">
      <alignment horizontal="right" wrapText="1"/>
      <protection locked="0"/>
    </xf>
    <xf numFmtId="0" fontId="14" fillId="0" borderId="140" xfId="0" applyFont="1" applyBorder="1" applyAlignment="1">
      <alignment wrapText="1"/>
    </xf>
    <xf numFmtId="0" fontId="10" fillId="0" borderId="159" xfId="1" applyNumberFormat="1" applyFont="1" applyFill="1" applyBorder="1" applyAlignment="1" applyProtection="1">
      <alignment horizontal="right" wrapText="1"/>
      <protection locked="0"/>
    </xf>
    <xf numFmtId="0" fontId="10" fillId="0" borderId="269" xfId="1" applyNumberFormat="1" applyFont="1" applyFill="1" applyBorder="1" applyAlignment="1" applyProtection="1">
      <alignment horizontal="right" wrapText="1"/>
    </xf>
    <xf numFmtId="10" fontId="10" fillId="0" borderId="223" xfId="2" applyNumberFormat="1" applyFont="1" applyFill="1" applyBorder="1" applyAlignment="1" applyProtection="1">
      <alignment horizontal="right" wrapText="1"/>
      <protection locked="0"/>
    </xf>
    <xf numFmtId="0" fontId="14" fillId="0" borderId="136" xfId="0" applyFont="1" applyBorder="1" applyAlignment="1">
      <alignment vertical="center" wrapText="1"/>
    </xf>
    <xf numFmtId="43" fontId="14" fillId="7" borderId="138" xfId="1" applyFont="1" applyFill="1" applyBorder="1" applyAlignment="1" applyProtection="1">
      <alignment horizontal="center" vertical="center" wrapText="1"/>
      <protection locked="0"/>
    </xf>
    <xf numFmtId="41" fontId="14" fillId="0" borderId="137"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protection locked="0"/>
    </xf>
    <xf numFmtId="41" fontId="14" fillId="0" borderId="180" xfId="1" applyNumberFormat="1" applyFont="1" applyFill="1" applyBorder="1" applyAlignment="1" applyProtection="1">
      <alignment horizontal="right" vertical="center" wrapText="1"/>
      <protection locked="0"/>
    </xf>
    <xf numFmtId="168" fontId="14" fillId="0" borderId="138" xfId="1" applyNumberFormat="1" applyFont="1" applyFill="1" applyBorder="1" applyAlignment="1" applyProtection="1">
      <alignment horizontal="right" wrapText="1"/>
      <protection locked="0"/>
    </xf>
    <xf numFmtId="0" fontId="14" fillId="0" borderId="136" xfId="1" applyNumberFormat="1" applyFont="1" applyFill="1" applyBorder="1" applyAlignment="1" applyProtection="1">
      <alignment horizontal="right" wrapText="1"/>
      <protection locked="0"/>
    </xf>
    <xf numFmtId="0" fontId="14" fillId="0" borderId="137" xfId="1" applyNumberFormat="1" applyFont="1" applyFill="1" applyBorder="1" applyAlignment="1" applyProtection="1">
      <alignment horizontal="right" wrapText="1"/>
    </xf>
    <xf numFmtId="10" fontId="14" fillId="0" borderId="180" xfId="2" applyNumberFormat="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xf>
    <xf numFmtId="41" fontId="14" fillId="0" borderId="136" xfId="1" applyNumberFormat="1" applyFont="1" applyFill="1" applyBorder="1" applyAlignment="1" applyProtection="1">
      <alignment horizontal="right" wrapText="1"/>
    </xf>
    <xf numFmtId="10" fontId="14" fillId="0" borderId="136" xfId="2" applyNumberFormat="1" applyFont="1" applyFill="1" applyBorder="1" applyAlignment="1" applyProtection="1">
      <alignment horizontal="right" wrapText="1"/>
      <protection locked="0"/>
    </xf>
    <xf numFmtId="10" fontId="14" fillId="0" borderId="145" xfId="2" applyNumberFormat="1" applyFont="1" applyFill="1" applyBorder="1" applyAlignment="1" applyProtection="1">
      <alignment horizontal="right" wrapText="1"/>
      <protection locked="0"/>
    </xf>
    <xf numFmtId="0" fontId="55" fillId="0" borderId="0" xfId="0" applyFont="1" applyAlignment="1">
      <alignment wrapText="1"/>
    </xf>
    <xf numFmtId="0" fontId="14" fillId="0" borderId="147" xfId="0" applyFont="1" applyBorder="1" applyAlignment="1">
      <alignment vertical="center" wrapText="1"/>
    </xf>
    <xf numFmtId="0" fontId="10" fillId="0" borderId="173" xfId="0" applyFont="1" applyBorder="1" applyAlignment="1">
      <alignment horizontal="center" vertical="center" wrapText="1"/>
    </xf>
    <xf numFmtId="43" fontId="14" fillId="7" borderId="168" xfId="1" applyFont="1" applyFill="1" applyBorder="1" applyAlignment="1" applyProtection="1">
      <alignment horizontal="center" vertical="center" wrapText="1"/>
      <protection locked="0"/>
    </xf>
    <xf numFmtId="41" fontId="14" fillId="0" borderId="160" xfId="1" applyNumberFormat="1" applyFont="1" applyFill="1" applyBorder="1" applyAlignment="1" applyProtection="1">
      <alignment horizontal="right" vertical="center" wrapText="1"/>
      <protection locked="0"/>
    </xf>
    <xf numFmtId="43" fontId="14" fillId="0" borderId="147" xfId="1" applyFont="1" applyFill="1" applyBorder="1" applyAlignment="1" applyProtection="1">
      <alignment horizontal="right" vertical="center" wrapText="1"/>
      <protection locked="0"/>
    </xf>
    <xf numFmtId="41" fontId="14" fillId="0" borderId="181" xfId="1" applyNumberFormat="1" applyFont="1" applyFill="1" applyBorder="1" applyAlignment="1" applyProtection="1">
      <alignment horizontal="right" vertical="center" wrapText="1"/>
      <protection locked="0"/>
    </xf>
    <xf numFmtId="168" fontId="14" fillId="0" borderId="168" xfId="1" applyNumberFormat="1" applyFont="1" applyFill="1" applyBorder="1" applyAlignment="1" applyProtection="1">
      <alignment horizontal="right" wrapText="1"/>
      <protection locked="0"/>
    </xf>
    <xf numFmtId="0" fontId="14" fillId="0" borderId="147" xfId="1" applyNumberFormat="1" applyFont="1" applyFill="1" applyBorder="1" applyAlignment="1" applyProtection="1">
      <alignment horizontal="right" wrapText="1"/>
      <protection locked="0"/>
    </xf>
    <xf numFmtId="0" fontId="14" fillId="0" borderId="160" xfId="1" applyNumberFormat="1" applyFont="1" applyFill="1" applyBorder="1" applyAlignment="1" applyProtection="1">
      <alignment horizontal="right" wrapText="1"/>
    </xf>
    <xf numFmtId="10" fontId="14" fillId="0" borderId="181" xfId="2" applyNumberFormat="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xf>
    <xf numFmtId="41" fontId="14" fillId="0" borderId="147" xfId="1" applyNumberFormat="1" applyFont="1" applyFill="1" applyBorder="1" applyAlignment="1" applyProtection="1">
      <alignment horizontal="right" wrapText="1"/>
    </xf>
    <xf numFmtId="43" fontId="14" fillId="0" borderId="147" xfId="1" applyFont="1" applyFill="1" applyBorder="1" applyAlignment="1" applyProtection="1">
      <alignment horizontal="right" wrapText="1"/>
    </xf>
    <xf numFmtId="1" fontId="14" fillId="0" borderId="147" xfId="1" applyNumberFormat="1" applyFont="1" applyFill="1" applyBorder="1" applyAlignment="1" applyProtection="1">
      <alignment horizontal="right" wrapText="1"/>
      <protection locked="0"/>
    </xf>
    <xf numFmtId="10" fontId="14" fillId="0" borderId="147" xfId="2" applyNumberFormat="1" applyFont="1" applyFill="1" applyBorder="1" applyAlignment="1" applyProtection="1">
      <alignment horizontal="right" wrapText="1"/>
      <protection locked="0"/>
    </xf>
    <xf numFmtId="10" fontId="14" fillId="0" borderId="148" xfId="2" applyNumberFormat="1" applyFont="1" applyFill="1" applyBorder="1" applyAlignment="1" applyProtection="1">
      <alignment horizontal="right" wrapText="1"/>
      <protection locked="0"/>
    </xf>
    <xf numFmtId="0" fontId="27" fillId="0" borderId="0" xfId="7" applyFont="1" applyBorder="1" applyAlignment="1" applyProtection="1">
      <alignment wrapText="1"/>
    </xf>
    <xf numFmtId="0" fontId="1" fillId="0" borderId="0" xfId="0" applyFont="1" applyAlignment="1">
      <alignment horizontal="left" wrapText="1"/>
    </xf>
    <xf numFmtId="0" fontId="14" fillId="0" borderId="0" xfId="0" applyFont="1" applyAlignment="1">
      <alignment vertical="center" wrapText="1"/>
    </xf>
    <xf numFmtId="0" fontId="14" fillId="0" borderId="0" xfId="0" applyFont="1" applyAlignment="1">
      <alignment horizontal="left" vertical="center" wrapText="1"/>
    </xf>
    <xf numFmtId="0" fontId="10" fillId="0" borderId="60" xfId="0" applyFont="1" applyBorder="1" applyAlignment="1">
      <alignment horizontal="center" vertical="center" wrapText="1"/>
    </xf>
    <xf numFmtId="0" fontId="47" fillId="0" borderId="9" xfId="0" applyFont="1" applyBorder="1" applyAlignment="1">
      <alignment horizontal="center" vertical="center" wrapText="1"/>
    </xf>
    <xf numFmtId="0" fontId="47" fillId="0" borderId="26" xfId="0" applyFont="1" applyBorder="1" applyAlignment="1">
      <alignment horizontal="center" vertical="center" wrapText="1"/>
    </xf>
    <xf numFmtId="0" fontId="47" fillId="0" borderId="6" xfId="0" applyFont="1" applyBorder="1" applyAlignment="1">
      <alignment horizontal="center" vertical="center" wrapText="1"/>
    </xf>
    <xf numFmtId="0" fontId="10" fillId="0" borderId="0" xfId="0" applyFont="1" applyAlignment="1">
      <alignment horizontal="center"/>
    </xf>
    <xf numFmtId="0" fontId="4" fillId="8" borderId="9" xfId="3" applyFont="1" applyFill="1" applyBorder="1" applyAlignment="1">
      <alignment horizontal="center" vertical="center"/>
    </xf>
    <xf numFmtId="0" fontId="14" fillId="0" borderId="6" xfId="3" applyFont="1" applyBorder="1" applyAlignment="1"/>
    <xf numFmtId="0" fontId="10" fillId="0" borderId="61" xfId="3" applyFont="1" applyBorder="1" applyAlignment="1">
      <alignment horizontal="center" vertical="center"/>
    </xf>
    <xf numFmtId="0" fontId="10" fillId="0" borderId="55" xfId="3" applyFont="1" applyBorder="1" applyAlignment="1">
      <alignment horizontal="center" vertical="center"/>
    </xf>
    <xf numFmtId="0" fontId="10" fillId="0" borderId="68" xfId="3" applyFont="1" applyBorder="1" applyAlignment="1">
      <alignment horizontal="center" vertical="center"/>
    </xf>
    <xf numFmtId="0" fontId="4" fillId="0" borderId="0" xfId="3" applyFont="1" applyAlignment="1">
      <alignment horizontal="center"/>
    </xf>
    <xf numFmtId="0" fontId="9" fillId="7" borderId="83" xfId="3" applyFont="1" applyFill="1" applyBorder="1" applyAlignment="1">
      <alignment horizontal="center" vertical="center"/>
    </xf>
    <xf numFmtId="0" fontId="14" fillId="0" borderId="27" xfId="3" applyFont="1" applyBorder="1" applyAlignment="1"/>
    <xf numFmtId="0" fontId="8" fillId="8" borderId="9" xfId="3" applyFont="1" applyFill="1" applyBorder="1" applyAlignment="1">
      <alignment horizontal="left"/>
    </xf>
    <xf numFmtId="0" fontId="8" fillId="8" borderId="6" xfId="3" applyFont="1" applyFill="1" applyBorder="1" applyAlignment="1">
      <alignment horizontal="left"/>
    </xf>
    <xf numFmtId="0" fontId="24" fillId="6" borderId="26" xfId="3" applyFont="1" applyFill="1" applyBorder="1" applyAlignment="1">
      <alignment horizontal="center"/>
    </xf>
    <xf numFmtId="0" fontId="24" fillId="6" borderId="6" xfId="3" applyFont="1" applyFill="1" applyBorder="1" applyAlignment="1">
      <alignment horizontal="center"/>
    </xf>
    <xf numFmtId="0" fontId="9" fillId="7" borderId="2" xfId="3" applyFont="1" applyFill="1" applyBorder="1" applyAlignment="1">
      <alignment horizontal="center" vertical="center"/>
    </xf>
    <xf numFmtId="0" fontId="14" fillId="0" borderId="24" xfId="3" applyFont="1" applyBorder="1" applyAlignment="1"/>
    <xf numFmtId="0" fontId="14" fillId="0" borderId="14" xfId="3" applyFont="1" applyBorder="1" applyAlignment="1"/>
    <xf numFmtId="0" fontId="8" fillId="12" borderId="26" xfId="3" applyFont="1" applyFill="1" applyBorder="1" applyAlignment="1">
      <alignment horizontal="left" wrapText="1"/>
    </xf>
    <xf numFmtId="0" fontId="8" fillId="12" borderId="6" xfId="3" applyFont="1" applyFill="1" applyBorder="1" applyAlignment="1">
      <alignment horizontal="left" wrapText="1"/>
    </xf>
    <xf numFmtId="0" fontId="10" fillId="7" borderId="61" xfId="3" applyFont="1" applyFill="1" applyBorder="1" applyAlignment="1">
      <alignment horizontal="center" vertical="center"/>
    </xf>
    <xf numFmtId="0" fontId="10" fillId="7" borderId="82" xfId="3" applyFont="1" applyFill="1" applyBorder="1" applyAlignment="1">
      <alignment horizontal="center" vertical="center"/>
    </xf>
    <xf numFmtId="0" fontId="10" fillId="0" borderId="70" xfId="3" applyFont="1" applyBorder="1" applyAlignment="1">
      <alignment horizontal="center" vertical="center"/>
    </xf>
    <xf numFmtId="0" fontId="14" fillId="0" borderId="55" xfId="3" applyFont="1" applyBorder="1" applyAlignment="1"/>
    <xf numFmtId="0" fontId="10" fillId="0" borderId="2" xfId="3" applyFont="1" applyBorder="1" applyAlignment="1">
      <alignment horizontal="center" vertical="center"/>
    </xf>
    <xf numFmtId="0" fontId="10" fillId="0" borderId="24" xfId="3" applyFont="1" applyBorder="1" applyAlignment="1">
      <alignment horizontal="center" vertical="center"/>
    </xf>
    <xf numFmtId="0" fontId="10" fillId="0" borderId="14" xfId="3" applyFont="1" applyBorder="1" applyAlignment="1">
      <alignment horizontal="center" vertical="center"/>
    </xf>
    <xf numFmtId="0" fontId="4" fillId="6" borderId="26" xfId="3" applyFont="1" applyFill="1" applyBorder="1" applyAlignment="1">
      <alignment horizontal="center" vertical="center"/>
    </xf>
    <xf numFmtId="0" fontId="4" fillId="6" borderId="6" xfId="3" applyFont="1" applyFill="1" applyBorder="1" applyAlignment="1">
      <alignment horizontal="center" vertical="center"/>
    </xf>
    <xf numFmtId="0" fontId="4" fillId="8" borderId="71" xfId="3" applyFont="1" applyFill="1" applyBorder="1" applyAlignment="1">
      <alignment horizontal="center" vertical="center"/>
    </xf>
    <xf numFmtId="0" fontId="14" fillId="0" borderId="72" xfId="3" applyFont="1" applyBorder="1" applyAlignment="1"/>
    <xf numFmtId="0" fontId="10" fillId="0" borderId="27" xfId="3" applyFont="1" applyBorder="1" applyAlignment="1">
      <alignment horizontal="center" vertical="center"/>
    </xf>
    <xf numFmtId="0" fontId="4" fillId="8" borderId="22" xfId="3" applyFont="1" applyFill="1" applyBorder="1" applyAlignment="1">
      <alignment horizontal="center" vertical="center"/>
    </xf>
    <xf numFmtId="0" fontId="14" fillId="0" borderId="3" xfId="3" applyFont="1" applyBorder="1" applyAlignment="1"/>
    <xf numFmtId="0" fontId="10" fillId="0" borderId="36" xfId="3" applyFont="1" applyBorder="1" applyAlignment="1">
      <alignment horizontal="center" vertical="center"/>
    </xf>
    <xf numFmtId="0" fontId="14" fillId="0" borderId="68" xfId="3" applyFont="1" applyBorder="1" applyAlignment="1"/>
    <xf numFmtId="0" fontId="4" fillId="0" borderId="0" xfId="3" applyFont="1" applyAlignment="1">
      <alignment horizontal="center" vertical="center"/>
    </xf>
    <xf numFmtId="0" fontId="5" fillId="0" borderId="0" xfId="3" applyFont="1" applyAlignment="1" applyProtection="1">
      <alignment horizontal="center" vertical="center"/>
      <protection locked="0"/>
    </xf>
    <xf numFmtId="14" fontId="6" fillId="0" borderId="0" xfId="3" applyNumberFormat="1" applyFont="1" applyAlignment="1">
      <alignment horizontal="left" vertical="center"/>
    </xf>
    <xf numFmtId="0" fontId="4" fillId="8" borderId="65" xfId="3" applyFont="1" applyFill="1" applyBorder="1" applyAlignment="1">
      <alignment horizontal="center" vertical="center"/>
    </xf>
    <xf numFmtId="0" fontId="4" fillId="8" borderId="66" xfId="3" applyFont="1" applyFill="1" applyBorder="1" applyAlignment="1">
      <alignment horizontal="center" vertical="center"/>
    </xf>
    <xf numFmtId="0" fontId="14" fillId="0" borderId="58" xfId="3" applyFont="1" applyBorder="1" applyAlignment="1"/>
    <xf numFmtId="0" fontId="4" fillId="8" borderId="67" xfId="3" applyFont="1" applyFill="1" applyBorder="1" applyAlignment="1">
      <alignment horizontal="center" vertical="center"/>
    </xf>
    <xf numFmtId="0" fontId="14" fillId="0" borderId="69" xfId="3" applyFont="1" applyBorder="1" applyAlignment="1"/>
    <xf numFmtId="164" fontId="13" fillId="0" borderId="0" xfId="0" applyNumberFormat="1" applyFont="1" applyAlignment="1">
      <alignment horizontal="center" vertical="center"/>
    </xf>
    <xf numFmtId="164" fontId="10" fillId="0" borderId="0" xfId="0" applyNumberFormat="1" applyFont="1" applyAlignment="1">
      <alignment horizontal="center" vertical="center"/>
    </xf>
    <xf numFmtId="0" fontId="2" fillId="0" borderId="0" xfId="0" applyFont="1" applyAlignment="1">
      <alignment horizontal="right" vertical="center"/>
    </xf>
    <xf numFmtId="0" fontId="4" fillId="0" borderId="0" xfId="0" applyFont="1" applyAlignment="1">
      <alignment horizontal="center" vertical="center"/>
    </xf>
    <xf numFmtId="0" fontId="5" fillId="0" borderId="0" xfId="0" applyFont="1" applyAlignment="1">
      <alignment horizontal="center" vertical="center"/>
    </xf>
    <xf numFmtId="14" fontId="6" fillId="0" borderId="42" xfId="0" applyNumberFormat="1" applyFont="1" applyBorder="1" applyAlignment="1">
      <alignment horizontal="left" vertical="center"/>
    </xf>
    <xf numFmtId="0" fontId="14" fillId="0" borderId="42" xfId="0" applyFont="1" applyBorder="1" applyAlignment="1"/>
    <xf numFmtId="0" fontId="0" fillId="0" borderId="0" xfId="0" applyAlignment="1"/>
    <xf numFmtId="0" fontId="10" fillId="0" borderId="43" xfId="0" applyFont="1" applyBorder="1" applyAlignment="1">
      <alignment horizontal="center" vertical="center"/>
    </xf>
    <xf numFmtId="0" fontId="21" fillId="0" borderId="43" xfId="0" applyFont="1" applyBorder="1" applyAlignment="1"/>
    <xf numFmtId="0" fontId="21" fillId="0" borderId="42" xfId="0" applyFont="1" applyBorder="1" applyAlignment="1"/>
    <xf numFmtId="0" fontId="10" fillId="0" borderId="2" xfId="0" applyFont="1" applyBorder="1" applyAlignment="1">
      <alignment horizontal="center" vertical="center" wrapText="1"/>
    </xf>
    <xf numFmtId="0" fontId="21" fillId="0" borderId="45" xfId="0" applyFont="1" applyBorder="1" applyAlignment="1"/>
    <xf numFmtId="165" fontId="10" fillId="0" borderId="44" xfId="2" applyNumberFormat="1" applyFont="1" applyBorder="1" applyAlignment="1" applyProtection="1">
      <alignment horizontal="center" vertical="center"/>
    </xf>
    <xf numFmtId="165" fontId="21" fillId="0" borderId="46" xfId="2" applyNumberFormat="1" applyFont="1" applyBorder="1" applyAlignment="1" applyProtection="1"/>
    <xf numFmtId="0" fontId="10" fillId="0" borderId="0" xfId="0" applyFont="1" applyAlignment="1">
      <alignment horizontal="center" vertical="center"/>
    </xf>
    <xf numFmtId="0" fontId="2" fillId="0" borderId="0" xfId="0" applyFont="1" applyAlignment="1">
      <alignment horizontal="center" vertical="center" wrapText="1"/>
    </xf>
    <xf numFmtId="0" fontId="14" fillId="0" borderId="0" xfId="7" applyFont="1" applyAlignment="1">
      <alignment wrapText="1"/>
    </xf>
    <xf numFmtId="0" fontId="4" fillId="0" borderId="0" xfId="0" applyFont="1" applyAlignment="1">
      <alignment horizontal="center" vertical="center" wrapText="1"/>
    </xf>
    <xf numFmtId="0" fontId="4" fillId="0" borderId="0" xfId="0" applyFont="1" applyAlignment="1">
      <alignment horizontal="center" wrapText="1"/>
    </xf>
    <xf numFmtId="0" fontId="1" fillId="0" borderId="0" xfId="0" applyFont="1" applyAlignment="1">
      <alignment horizontal="center" wrapText="1"/>
    </xf>
    <xf numFmtId="49" fontId="10" fillId="10" borderId="149" xfId="0" applyNumberFormat="1" applyFont="1" applyFill="1" applyBorder="1" applyAlignment="1">
      <alignment horizontal="center" vertical="center" textRotation="90" wrapText="1"/>
    </xf>
    <xf numFmtId="49" fontId="10" fillId="10" borderId="277" xfId="0" applyNumberFormat="1" applyFont="1" applyFill="1" applyBorder="1" applyAlignment="1">
      <alignment horizontal="center" vertical="center" textRotation="90" wrapText="1"/>
    </xf>
    <xf numFmtId="49" fontId="10" fillId="10" borderId="151" xfId="0" applyNumberFormat="1" applyFont="1" applyFill="1" applyBorder="1" applyAlignment="1">
      <alignment horizontal="center" vertical="center" textRotation="90" wrapText="1"/>
    </xf>
    <xf numFmtId="49" fontId="10" fillId="0" borderId="203" xfId="0" applyNumberFormat="1" applyFont="1" applyBorder="1" applyAlignment="1">
      <alignment horizontal="center" vertical="top" wrapText="1"/>
    </xf>
    <xf numFmtId="49" fontId="10" fillId="0" borderId="144" xfId="0" applyNumberFormat="1" applyFont="1" applyBorder="1" applyAlignment="1">
      <alignment horizontal="center" vertical="top" wrapText="1"/>
    </xf>
    <xf numFmtId="49" fontId="10" fillId="0" borderId="211" xfId="0" applyNumberFormat="1" applyFont="1" applyBorder="1" applyAlignment="1">
      <alignment horizontal="center" vertical="top" wrapText="1"/>
    </xf>
    <xf numFmtId="0" fontId="5" fillId="0" borderId="0" xfId="0" applyFont="1" applyAlignment="1">
      <alignment horizontal="center" vertical="center" wrapText="1"/>
    </xf>
    <xf numFmtId="0" fontId="14" fillId="0" borderId="0" xfId="7" applyFont="1" applyAlignment="1">
      <alignment horizontal="left" wrapText="1"/>
    </xf>
    <xf numFmtId="49" fontId="10" fillId="0" borderId="146" xfId="0" applyNumberFormat="1" applyFont="1" applyBorder="1" applyAlignment="1">
      <alignment horizontal="center" vertical="top" wrapText="1"/>
    </xf>
    <xf numFmtId="168" fontId="10" fillId="11" borderId="114" xfId="1" applyNumberFormat="1" applyFont="1" applyFill="1" applyBorder="1" applyAlignment="1" applyProtection="1">
      <alignment horizontal="center" vertical="center" wrapText="1"/>
    </xf>
    <xf numFmtId="168" fontId="10" fillId="11" borderId="123" xfId="1" applyNumberFormat="1" applyFont="1" applyFill="1" applyBorder="1" applyAlignment="1" applyProtection="1">
      <alignment horizontal="center" vertical="center" wrapText="1"/>
    </xf>
    <xf numFmtId="168" fontId="10" fillId="11" borderId="119" xfId="1" applyNumberFormat="1" applyFont="1" applyFill="1" applyBorder="1" applyAlignment="1" applyProtection="1">
      <alignment horizontal="center" vertical="center" wrapText="1"/>
    </xf>
    <xf numFmtId="49" fontId="10" fillId="0" borderId="151" xfId="0" applyNumberFormat="1" applyFont="1" applyBorder="1" applyAlignment="1">
      <alignment horizontal="center" vertical="top" wrapText="1"/>
    </xf>
    <xf numFmtId="49" fontId="10" fillId="0" borderId="149" xfId="0" applyNumberFormat="1" applyFont="1" applyBorder="1" applyAlignment="1">
      <alignment horizontal="center" vertical="top" wrapText="1"/>
    </xf>
    <xf numFmtId="49" fontId="10" fillId="0" borderId="196" xfId="0" applyNumberFormat="1" applyFont="1" applyBorder="1" applyAlignment="1">
      <alignment horizontal="center" vertical="top" wrapText="1"/>
    </xf>
    <xf numFmtId="0" fontId="10" fillId="6" borderId="138" xfId="0" applyFont="1" applyFill="1" applyBorder="1" applyAlignment="1">
      <alignment horizontal="center" vertical="center" wrapText="1"/>
    </xf>
    <xf numFmtId="0" fontId="10" fillId="6" borderId="136" xfId="0" applyFont="1" applyFill="1" applyBorder="1" applyAlignment="1">
      <alignment horizontal="center" vertical="center" wrapText="1"/>
    </xf>
    <xf numFmtId="49" fontId="10" fillId="0" borderId="144" xfId="0" applyNumberFormat="1" applyFont="1" applyBorder="1" applyAlignment="1">
      <alignment horizontal="center" vertical="center" wrapText="1"/>
    </xf>
    <xf numFmtId="49" fontId="10" fillId="0" borderId="144" xfId="0" applyNumberFormat="1" applyFont="1" applyBorder="1" applyAlignment="1">
      <alignment horizontal="center" vertical="top" textRotation="90" wrapText="1"/>
    </xf>
    <xf numFmtId="168" fontId="10" fillId="11" borderId="174" xfId="1" applyNumberFormat="1" applyFont="1" applyFill="1" applyBorder="1" applyAlignment="1" applyProtection="1">
      <alignment horizontal="center" wrapText="1"/>
    </xf>
    <xf numFmtId="168" fontId="10" fillId="11" borderId="175" xfId="1" applyNumberFormat="1" applyFont="1" applyFill="1" applyBorder="1" applyAlignment="1" applyProtection="1">
      <alignment horizontal="center" wrapText="1"/>
    </xf>
    <xf numFmtId="168" fontId="10" fillId="11" borderId="176" xfId="1" applyNumberFormat="1" applyFont="1" applyFill="1" applyBorder="1" applyAlignment="1" applyProtection="1">
      <alignment horizontal="center" wrapText="1"/>
    </xf>
    <xf numFmtId="0" fontId="10" fillId="6" borderId="180" xfId="0" applyFont="1" applyFill="1" applyBorder="1" applyAlignment="1">
      <alignment horizontal="center" vertical="center"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9" fontId="10" fillId="6" borderId="136" xfId="2" applyFont="1" applyFill="1" applyBorder="1" applyAlignment="1" applyProtection="1">
      <alignment horizontal="center" vertical="center" wrapText="1"/>
    </xf>
    <xf numFmtId="9" fontId="10" fillId="6" borderId="139" xfId="2" applyFont="1" applyFill="1" applyBorder="1" applyAlignment="1" applyProtection="1">
      <alignment horizontal="center" vertical="center" wrapText="1"/>
    </xf>
    <xf numFmtId="0" fontId="10" fillId="6" borderId="141" xfId="0" applyFont="1" applyFill="1" applyBorder="1" applyAlignment="1">
      <alignment horizontal="center" vertical="center" wrapText="1"/>
    </xf>
    <xf numFmtId="0" fontId="10" fillId="6" borderId="142" xfId="0" applyFont="1" applyFill="1" applyBorder="1" applyAlignment="1">
      <alignment horizontal="center" vertical="center" wrapText="1"/>
    </xf>
    <xf numFmtId="0" fontId="10" fillId="6" borderId="156" xfId="0" applyFont="1" applyFill="1" applyBorder="1" applyAlignment="1">
      <alignment horizontal="center" vertical="center" wrapText="1"/>
    </xf>
    <xf numFmtId="0" fontId="10" fillId="6" borderId="144" xfId="0" applyFont="1" applyFill="1" applyBorder="1" applyAlignment="1">
      <alignment horizontal="center" vertical="center" wrapText="1"/>
    </xf>
    <xf numFmtId="0" fontId="10" fillId="6" borderId="137" xfId="0" applyFont="1" applyFill="1" applyBorder="1" applyAlignment="1">
      <alignment horizontal="center" vertical="center" wrapText="1"/>
    </xf>
    <xf numFmtId="0" fontId="10" fillId="6" borderId="149" xfId="0" applyFont="1" applyFill="1" applyBorder="1" applyAlignment="1">
      <alignment horizontal="center" vertical="center" wrapText="1"/>
    </xf>
    <xf numFmtId="0" fontId="10" fillId="6" borderId="139" xfId="0" applyFont="1" applyFill="1" applyBorder="1" applyAlignment="1">
      <alignment horizontal="center" vertical="center" wrapText="1"/>
    </xf>
    <xf numFmtId="0" fontId="10" fillId="6" borderId="157" xfId="0" applyFont="1" applyFill="1" applyBorder="1" applyAlignment="1">
      <alignment horizontal="center" vertical="center" wrapText="1"/>
    </xf>
    <xf numFmtId="0" fontId="10" fillId="6" borderId="169" xfId="0" applyFont="1" applyFill="1" applyBorder="1" applyAlignment="1">
      <alignment horizontal="center" vertical="center" textRotation="90" wrapText="1"/>
    </xf>
    <xf numFmtId="0" fontId="10" fillId="6" borderId="170" xfId="0" applyFont="1" applyFill="1" applyBorder="1" applyAlignment="1">
      <alignment horizontal="center" vertical="center" textRotation="90" wrapText="1"/>
    </xf>
    <xf numFmtId="0" fontId="10" fillId="6" borderId="171" xfId="0" applyFont="1" applyFill="1" applyBorder="1" applyAlignment="1">
      <alignment horizontal="center" vertical="center" textRotation="90" wrapText="1"/>
    </xf>
    <xf numFmtId="0" fontId="10" fillId="6" borderId="164" xfId="0" applyFont="1" applyFill="1" applyBorder="1" applyAlignment="1">
      <alignment horizontal="center" vertical="center" wrapText="1"/>
    </xf>
    <xf numFmtId="0" fontId="10" fillId="6" borderId="179" xfId="0" applyFont="1" applyFill="1" applyBorder="1" applyAlignment="1">
      <alignment horizontal="center" vertical="center" wrapText="1"/>
    </xf>
    <xf numFmtId="0" fontId="10" fillId="6" borderId="183" xfId="0" applyFont="1" applyFill="1" applyBorder="1" applyAlignment="1">
      <alignment horizontal="center" vertical="center" wrapText="1"/>
    </xf>
    <xf numFmtId="168" fontId="10" fillId="11" borderId="128" xfId="1" applyNumberFormat="1" applyFont="1" applyFill="1" applyBorder="1" applyAlignment="1" applyProtection="1">
      <alignment horizontal="center" wrapText="1"/>
    </xf>
    <xf numFmtId="168" fontId="10" fillId="11" borderId="278" xfId="1" applyNumberFormat="1" applyFont="1" applyFill="1" applyBorder="1" applyAlignment="1" applyProtection="1">
      <alignment horizontal="center" wrapText="1"/>
    </xf>
    <xf numFmtId="0" fontId="10" fillId="6" borderId="182" xfId="0" applyFont="1" applyFill="1" applyBorder="1" applyAlignment="1">
      <alignment horizontal="center" vertical="center" wrapText="1"/>
    </xf>
    <xf numFmtId="0" fontId="10" fillId="6" borderId="188" xfId="0" applyFont="1" applyFill="1" applyBorder="1" applyAlignment="1">
      <alignment horizontal="center" vertical="center" wrapText="1"/>
    </xf>
    <xf numFmtId="0" fontId="10" fillId="6" borderId="189" xfId="0" applyFont="1" applyFill="1" applyBorder="1" applyAlignment="1">
      <alignment horizontal="center" vertical="center" wrapText="1"/>
    </xf>
    <xf numFmtId="0" fontId="10" fillId="6" borderId="143" xfId="0" applyFont="1" applyFill="1" applyBorder="1" applyAlignment="1">
      <alignment horizontal="center" vertical="center" wrapText="1"/>
    </xf>
    <xf numFmtId="0" fontId="10" fillId="11" borderId="157" xfId="1" applyNumberFormat="1" applyFont="1" applyFill="1" applyBorder="1" applyAlignment="1" applyProtection="1">
      <alignment horizontal="center" vertical="center" wrapText="1"/>
    </xf>
    <xf numFmtId="0" fontId="10" fillId="11" borderId="163" xfId="1" applyNumberFormat="1" applyFont="1" applyFill="1" applyBorder="1" applyAlignment="1" applyProtection="1">
      <alignment horizontal="center" vertical="center" wrapText="1"/>
    </xf>
    <xf numFmtId="0" fontId="10" fillId="11" borderId="270" xfId="1" applyNumberFormat="1" applyFont="1" applyFill="1" applyBorder="1" applyAlignment="1" applyProtection="1">
      <alignment horizontal="center" vertical="center" wrapText="1"/>
    </xf>
    <xf numFmtId="0" fontId="10" fillId="11" borderId="268" xfId="1" applyNumberFormat="1" applyFont="1" applyFill="1" applyBorder="1" applyAlignment="1" applyProtection="1">
      <alignment horizontal="center" vertical="center" wrapText="1"/>
    </xf>
    <xf numFmtId="0" fontId="10" fillId="11" borderId="0" xfId="1" applyNumberFormat="1" applyFont="1" applyFill="1" applyBorder="1" applyAlignment="1" applyProtection="1">
      <alignment horizontal="center" vertical="center" wrapText="1"/>
    </xf>
    <xf numFmtId="0" fontId="10" fillId="11" borderId="271" xfId="1" applyNumberFormat="1" applyFont="1" applyFill="1" applyBorder="1" applyAlignment="1" applyProtection="1">
      <alignment horizontal="center" vertical="center" wrapText="1"/>
    </xf>
    <xf numFmtId="0" fontId="10" fillId="11" borderId="216" xfId="1" applyNumberFormat="1" applyFont="1" applyFill="1" applyBorder="1" applyAlignment="1" applyProtection="1">
      <alignment horizontal="center" vertical="center" wrapText="1"/>
    </xf>
    <xf numFmtId="0" fontId="10" fillId="11" borderId="64" xfId="1" applyNumberFormat="1" applyFont="1" applyFill="1" applyBorder="1" applyAlignment="1" applyProtection="1">
      <alignment horizontal="center" vertical="center" wrapText="1"/>
    </xf>
    <xf numFmtId="0" fontId="10" fillId="11" borderId="118" xfId="1" applyNumberFormat="1" applyFont="1" applyFill="1" applyBorder="1" applyAlignment="1" applyProtection="1">
      <alignment horizontal="center" vertical="center" wrapText="1"/>
    </xf>
    <xf numFmtId="1" fontId="14" fillId="11" borderId="157" xfId="1" applyNumberFormat="1" applyFont="1" applyFill="1" applyBorder="1" applyAlignment="1" applyProtection="1">
      <alignment horizontal="center" vertical="center" wrapText="1"/>
    </xf>
    <xf numFmtId="1" fontId="14" fillId="11" borderId="163" xfId="1" applyNumberFormat="1" applyFont="1" applyFill="1" applyBorder="1" applyAlignment="1" applyProtection="1">
      <alignment horizontal="center" vertical="center" wrapText="1"/>
    </xf>
    <xf numFmtId="1" fontId="14" fillId="11" borderId="267" xfId="1" applyNumberFormat="1" applyFont="1" applyFill="1" applyBorder="1" applyAlignment="1" applyProtection="1">
      <alignment horizontal="center" vertical="center" wrapText="1"/>
    </xf>
    <xf numFmtId="1" fontId="14" fillId="11" borderId="268" xfId="1" applyNumberFormat="1" applyFont="1" applyFill="1" applyBorder="1" applyAlignment="1" applyProtection="1">
      <alignment horizontal="center" vertical="center" wrapText="1"/>
    </xf>
    <xf numFmtId="1" fontId="14" fillId="11" borderId="0" xfId="1" applyNumberFormat="1" applyFont="1" applyFill="1" applyBorder="1" applyAlignment="1" applyProtection="1">
      <alignment horizontal="center" vertical="center" wrapText="1"/>
    </xf>
    <xf numFmtId="1" fontId="14" fillId="11" borderId="32" xfId="1" applyNumberFormat="1" applyFont="1" applyFill="1" applyBorder="1" applyAlignment="1" applyProtection="1">
      <alignment horizontal="center" vertical="center" wrapText="1"/>
    </xf>
    <xf numFmtId="1" fontId="14" fillId="11" borderId="216" xfId="1" applyNumberFormat="1" applyFont="1" applyFill="1" applyBorder="1" applyAlignment="1" applyProtection="1">
      <alignment horizontal="center" vertical="center" wrapText="1"/>
    </xf>
    <xf numFmtId="1" fontId="14" fillId="11" borderId="64" xfId="1" applyNumberFormat="1" applyFont="1" applyFill="1" applyBorder="1" applyAlignment="1" applyProtection="1">
      <alignment horizontal="center" vertical="center" wrapText="1"/>
    </xf>
    <xf numFmtId="1" fontId="14" fillId="11" borderId="263" xfId="1" applyNumberFormat="1" applyFont="1" applyFill="1" applyBorder="1" applyAlignment="1" applyProtection="1">
      <alignment horizontal="center" vertical="center" wrapText="1"/>
    </xf>
    <xf numFmtId="9" fontId="10" fillId="6" borderId="145" xfId="2" applyFont="1" applyFill="1" applyBorder="1" applyAlignment="1" applyProtection="1">
      <alignment horizontal="center" vertical="center" wrapText="1"/>
    </xf>
    <xf numFmtId="9" fontId="10" fillId="6" borderId="150" xfId="2" applyFont="1" applyFill="1" applyBorder="1" applyAlignment="1" applyProtection="1">
      <alignment horizontal="center" vertical="center" wrapText="1"/>
    </xf>
    <xf numFmtId="168" fontId="10" fillId="11" borderId="161" xfId="1" applyNumberFormat="1" applyFont="1" applyFill="1" applyBorder="1" applyAlignment="1" applyProtection="1">
      <alignment horizontal="center" vertical="center" wrapText="1"/>
    </xf>
    <xf numFmtId="168" fontId="10" fillId="11" borderId="162" xfId="1" applyNumberFormat="1" applyFont="1" applyFill="1" applyBorder="1" applyAlignment="1" applyProtection="1">
      <alignment horizontal="center" vertical="center" wrapText="1"/>
    </xf>
    <xf numFmtId="0" fontId="10" fillId="6" borderId="147" xfId="0" applyFont="1" applyFill="1" applyBorder="1" applyAlignment="1">
      <alignment horizontal="center" vertical="center" wrapText="1"/>
    </xf>
    <xf numFmtId="9" fontId="10" fillId="6" borderId="180" xfId="2" applyFont="1" applyFill="1" applyBorder="1" applyAlignment="1" applyProtection="1">
      <alignment horizontal="center" vertical="center" wrapText="1"/>
    </xf>
    <xf numFmtId="9" fontId="10" fillId="6" borderId="181" xfId="2" applyFont="1" applyFill="1" applyBorder="1" applyAlignment="1" applyProtection="1">
      <alignment horizontal="center" vertical="center" wrapText="1"/>
    </xf>
    <xf numFmtId="0" fontId="4" fillId="0" borderId="0" xfId="0" applyFont="1" applyAlignment="1">
      <alignment horizontal="center"/>
    </xf>
    <xf numFmtId="0" fontId="1" fillId="0" borderId="0" xfId="0" applyFont="1" applyAlignment="1">
      <alignment horizontal="center"/>
    </xf>
    <xf numFmtId="168" fontId="14" fillId="11" borderId="94" xfId="1" applyNumberFormat="1" applyFont="1" applyFill="1" applyBorder="1" applyAlignment="1" applyProtection="1">
      <alignment horizontal="center" vertical="center" wrapText="1"/>
    </xf>
    <xf numFmtId="168" fontId="14" fillId="11" borderId="228" xfId="1" applyNumberFormat="1" applyFont="1" applyFill="1" applyBorder="1" applyAlignment="1" applyProtection="1">
      <alignment horizontal="center" vertical="center" wrapText="1"/>
    </xf>
    <xf numFmtId="168" fontId="14" fillId="11" borderId="95" xfId="1" applyNumberFormat="1" applyFont="1" applyFill="1" applyBorder="1" applyAlignment="1" applyProtection="1">
      <alignment horizontal="center" vertical="center" wrapText="1"/>
    </xf>
    <xf numFmtId="169" fontId="10" fillId="15" borderId="97" xfId="1" applyNumberFormat="1" applyFont="1" applyFill="1" applyBorder="1" applyAlignment="1" applyProtection="1">
      <alignment horizontal="center" vertical="center" wrapText="1"/>
    </xf>
    <xf numFmtId="169" fontId="10" fillId="15" borderId="127" xfId="1" applyNumberFormat="1" applyFont="1" applyFill="1" applyBorder="1" applyAlignment="1" applyProtection="1">
      <alignment horizontal="center" vertical="center" wrapText="1"/>
    </xf>
    <xf numFmtId="169" fontId="10" fillId="15" borderId="98" xfId="1" applyNumberFormat="1" applyFont="1" applyFill="1" applyBorder="1" applyAlignment="1" applyProtection="1">
      <alignment horizontal="center" vertical="center" wrapText="1"/>
    </xf>
    <xf numFmtId="0" fontId="10" fillId="11" borderId="169" xfId="0" applyFont="1" applyFill="1" applyBorder="1" applyAlignment="1">
      <alignment horizontal="center" vertical="center" wrapText="1"/>
    </xf>
    <xf numFmtId="0" fontId="10" fillId="11" borderId="170" xfId="0" applyFont="1" applyFill="1" applyBorder="1" applyAlignment="1">
      <alignment horizontal="center" vertical="center" wrapText="1"/>
    </xf>
    <xf numFmtId="0" fontId="10" fillId="11" borderId="173" xfId="0" applyFont="1" applyFill="1" applyBorder="1" applyAlignment="1">
      <alignment horizontal="center" vertical="center" wrapText="1"/>
    </xf>
    <xf numFmtId="169" fontId="10" fillId="16" borderId="210" xfId="1" applyNumberFormat="1" applyFont="1" applyFill="1" applyBorder="1" applyAlignment="1" applyProtection="1">
      <alignment horizontal="center" vertical="center" wrapText="1"/>
    </xf>
    <xf numFmtId="169" fontId="10" fillId="16" borderId="206" xfId="1" applyNumberFormat="1" applyFont="1" applyFill="1" applyBorder="1" applyAlignment="1" applyProtection="1">
      <alignment horizontal="center" vertical="center" wrapText="1"/>
    </xf>
    <xf numFmtId="169" fontId="10" fillId="16" borderId="207" xfId="1" applyNumberFormat="1" applyFont="1" applyFill="1" applyBorder="1" applyAlignment="1" applyProtection="1">
      <alignment horizontal="center" vertical="center" wrapText="1"/>
    </xf>
    <xf numFmtId="169" fontId="10" fillId="16" borderId="180" xfId="1" applyNumberFormat="1" applyFont="1" applyFill="1" applyBorder="1" applyAlignment="1" applyProtection="1">
      <alignment horizontal="center" vertical="center" wrapText="1"/>
    </xf>
    <xf numFmtId="169" fontId="10" fillId="16" borderId="221" xfId="1" applyNumberFormat="1" applyFont="1" applyFill="1" applyBorder="1" applyAlignment="1" applyProtection="1">
      <alignment horizontal="center" vertical="center" wrapText="1"/>
    </xf>
    <xf numFmtId="169" fontId="10" fillId="16" borderId="181" xfId="1" applyNumberFormat="1" applyFont="1" applyFill="1" applyBorder="1" applyAlignment="1" applyProtection="1">
      <alignment horizontal="center" vertical="center" wrapText="1"/>
    </xf>
    <xf numFmtId="169" fontId="10" fillId="15" borderId="119" xfId="1" applyNumberFormat="1" applyFont="1" applyFill="1" applyBorder="1" applyAlignment="1" applyProtection="1">
      <alignment horizontal="center" vertical="center" wrapText="1"/>
    </xf>
    <xf numFmtId="0" fontId="10" fillId="11" borderId="161" xfId="0" applyFont="1" applyFill="1" applyBorder="1" applyAlignment="1">
      <alignment horizontal="center" vertical="center" wrapText="1"/>
    </xf>
    <xf numFmtId="0" fontId="10" fillId="11" borderId="187" xfId="0" applyFont="1" applyFill="1" applyBorder="1" applyAlignment="1">
      <alignment horizontal="center" vertical="center" wrapText="1"/>
    </xf>
    <xf numFmtId="168" fontId="14" fillId="11" borderId="224" xfId="1" applyNumberFormat="1" applyFont="1" applyFill="1" applyBorder="1" applyAlignment="1" applyProtection="1">
      <alignment horizontal="center" vertical="center" textRotation="90" wrapText="1"/>
    </xf>
    <xf numFmtId="168" fontId="14" fillId="11" borderId="225" xfId="1" applyNumberFormat="1" applyFont="1" applyFill="1" applyBorder="1" applyAlignment="1" applyProtection="1">
      <alignment horizontal="center" vertical="center" textRotation="90" wrapText="1"/>
    </xf>
    <xf numFmtId="0" fontId="10" fillId="11" borderId="94" xfId="0" applyFont="1" applyFill="1" applyBorder="1" applyAlignment="1">
      <alignment horizontal="center" vertical="center" wrapText="1"/>
    </xf>
    <xf numFmtId="169" fontId="10" fillId="15" borderId="117" xfId="1" applyNumberFormat="1" applyFont="1" applyFill="1" applyBorder="1" applyAlignment="1" applyProtection="1">
      <alignment horizontal="center" vertical="center" wrapText="1"/>
    </xf>
    <xf numFmtId="169" fontId="10" fillId="15" borderId="101" xfId="1" applyNumberFormat="1" applyFont="1" applyFill="1" applyBorder="1" applyAlignment="1" applyProtection="1">
      <alignment horizontal="center" vertical="center" wrapText="1"/>
    </xf>
    <xf numFmtId="0" fontId="1" fillId="0" borderId="281" xfId="0" applyFont="1" applyBorder="1" applyAlignment="1">
      <alignment horizontal="left" wrapText="1"/>
    </xf>
    <xf numFmtId="0" fontId="1" fillId="0" borderId="251" xfId="0" applyFont="1" applyBorder="1" applyAlignment="1">
      <alignment horizontal="left" wrapText="1"/>
    </xf>
    <xf numFmtId="0" fontId="1" fillId="0" borderId="282" xfId="0" applyFont="1" applyBorder="1" applyAlignment="1">
      <alignment horizontal="left" wrapText="1"/>
    </xf>
    <xf numFmtId="0" fontId="1" fillId="0" borderId="258" xfId="0" applyFont="1" applyBorder="1" applyAlignment="1">
      <alignment horizontal="left" wrapText="1"/>
    </xf>
    <xf numFmtId="0" fontId="10" fillId="0" borderId="0" xfId="0" applyFont="1" applyAlignment="1">
      <alignment horizontal="left" vertical="center"/>
    </xf>
    <xf numFmtId="0" fontId="1" fillId="0" borderId="0" xfId="0" applyFont="1" applyAlignment="1">
      <alignment horizontal="left"/>
    </xf>
    <xf numFmtId="10" fontId="34" fillId="0" borderId="257" xfId="0" applyNumberFormat="1" applyFont="1" applyBorder="1" applyAlignment="1">
      <alignment horizontal="center" vertical="center"/>
    </xf>
    <xf numFmtId="10" fontId="34" fillId="0" borderId="251" xfId="0" applyNumberFormat="1" applyFont="1" applyBorder="1" applyAlignment="1">
      <alignment horizontal="center" vertical="center"/>
    </xf>
    <xf numFmtId="10" fontId="34" fillId="0" borderId="258" xfId="0" applyNumberFormat="1" applyFont="1" applyBorder="1" applyAlignment="1">
      <alignment horizontal="center" vertical="center"/>
    </xf>
    <xf numFmtId="0" fontId="1" fillId="25" borderId="96" xfId="0" applyFont="1" applyFill="1" applyBorder="1" applyAlignment="1">
      <alignment horizontal="center" vertical="center"/>
    </xf>
    <xf numFmtId="0" fontId="1" fillId="25" borderId="97" xfId="0" applyFont="1" applyFill="1" applyBorder="1" applyAlignment="1">
      <alignment horizontal="center" vertical="center"/>
    </xf>
    <xf numFmtId="0" fontId="33" fillId="18" borderId="96" xfId="0" applyFont="1" applyFill="1" applyBorder="1" applyAlignment="1">
      <alignment horizontal="left" vertical="center" wrapText="1"/>
    </xf>
    <xf numFmtId="0" fontId="33" fillId="18" borderId="97" xfId="0" applyFont="1" applyFill="1" applyBorder="1" applyAlignment="1">
      <alignment horizontal="left" vertical="center" wrapText="1"/>
    </xf>
    <xf numFmtId="0" fontId="33" fillId="18" borderId="98" xfId="0" applyFont="1" applyFill="1" applyBorder="1" applyAlignment="1">
      <alignment horizontal="left" vertical="center" wrapText="1"/>
    </xf>
    <xf numFmtId="0" fontId="33" fillId="19" borderId="96" xfId="0" applyFont="1" applyFill="1" applyBorder="1" applyAlignment="1">
      <alignment horizontal="center" vertical="center"/>
    </xf>
    <xf numFmtId="0" fontId="33" fillId="19" borderId="97" xfId="0" applyFont="1" applyFill="1" applyBorder="1" applyAlignment="1">
      <alignment horizontal="center" vertical="center"/>
    </xf>
    <xf numFmtId="0" fontId="33" fillId="6" borderId="96" xfId="0" applyFont="1" applyFill="1" applyBorder="1" applyAlignment="1">
      <alignment horizontal="center"/>
    </xf>
    <xf numFmtId="0" fontId="33" fillId="6" borderId="97" xfId="0" applyFont="1" applyFill="1" applyBorder="1" applyAlignment="1">
      <alignment horizontal="center"/>
    </xf>
    <xf numFmtId="0" fontId="33" fillId="6" borderId="98" xfId="0" applyFont="1" applyFill="1" applyBorder="1" applyAlignment="1">
      <alignment horizontal="center"/>
    </xf>
    <xf numFmtId="0" fontId="10" fillId="0" borderId="0" xfId="0" applyFont="1" applyAlignment="1">
      <alignment horizontal="left" vertical="center" wrapText="1"/>
    </xf>
    <xf numFmtId="0" fontId="24" fillId="2" borderId="103" xfId="0" applyFont="1" applyFill="1" applyBorder="1" applyAlignment="1">
      <alignment horizontal="center"/>
    </xf>
    <xf numFmtId="0" fontId="24" fillId="2" borderId="104" xfId="0" applyFont="1" applyFill="1" applyBorder="1" applyAlignment="1">
      <alignment horizontal="center"/>
    </xf>
    <xf numFmtId="10" fontId="34" fillId="0" borderId="244" xfId="2" applyNumberFormat="1" applyFont="1" applyFill="1" applyBorder="1" applyAlignment="1" applyProtection="1">
      <alignment horizontal="center" vertical="center"/>
    </xf>
    <xf numFmtId="10" fontId="34" fillId="0" borderId="246" xfId="2" applyNumberFormat="1" applyFont="1" applyFill="1" applyBorder="1" applyAlignment="1" applyProtection="1">
      <alignment horizontal="center" vertical="center"/>
    </xf>
    <xf numFmtId="10" fontId="34" fillId="0" borderId="248" xfId="2" applyNumberFormat="1" applyFont="1" applyFill="1" applyBorder="1" applyAlignment="1" applyProtection="1">
      <alignment horizontal="center" vertical="center"/>
    </xf>
    <xf numFmtId="0" fontId="1" fillId="0" borderId="280" xfId="0" applyFont="1" applyBorder="1" applyAlignment="1">
      <alignment horizontal="left" wrapText="1"/>
    </xf>
    <xf numFmtId="0" fontId="1" fillId="0" borderId="257" xfId="0" applyFont="1" applyBorder="1" applyAlignment="1">
      <alignment horizontal="left" wrapText="1"/>
    </xf>
    <xf numFmtId="0" fontId="2" fillId="0" borderId="239" xfId="0" applyFont="1" applyBorder="1" applyAlignment="1">
      <alignment horizontal="right" vertical="center" wrapText="1"/>
    </xf>
    <xf numFmtId="0" fontId="2" fillId="0" borderId="233" xfId="0" applyFont="1" applyBorder="1" applyAlignment="1">
      <alignment horizontal="right" vertical="center"/>
    </xf>
    <xf numFmtId="0" fontId="2" fillId="0" borderId="275" xfId="0" applyFont="1" applyBorder="1" applyAlignment="1">
      <alignment horizontal="right" vertical="center"/>
    </xf>
    <xf numFmtId="0" fontId="4" fillId="0" borderId="272" xfId="0" applyFont="1" applyBorder="1" applyAlignment="1">
      <alignment horizontal="center"/>
    </xf>
    <xf numFmtId="0" fontId="4" fillId="0" borderId="274" xfId="0" applyFont="1" applyBorder="1" applyAlignment="1">
      <alignment horizontal="center"/>
    </xf>
    <xf numFmtId="0" fontId="31" fillId="0" borderId="272" xfId="0" applyFont="1" applyBorder="1" applyAlignment="1">
      <alignment horizontal="center"/>
    </xf>
    <xf numFmtId="0" fontId="31" fillId="0" borderId="274" xfId="0" applyFont="1" applyBorder="1" applyAlignment="1">
      <alignment horizontal="center"/>
    </xf>
    <xf numFmtId="14" fontId="1" fillId="0" borderId="272" xfId="0" applyNumberFormat="1" applyFont="1" applyBorder="1" applyAlignment="1">
      <alignment horizontal="center"/>
    </xf>
    <xf numFmtId="10" fontId="34" fillId="0" borderId="244" xfId="0" applyNumberFormat="1" applyFont="1" applyBorder="1" applyAlignment="1">
      <alignment horizontal="center" vertical="center"/>
    </xf>
    <xf numFmtId="10" fontId="34" fillId="0" borderId="246" xfId="0" applyNumberFormat="1" applyFont="1" applyBorder="1" applyAlignment="1">
      <alignment horizontal="center" vertical="center"/>
    </xf>
    <xf numFmtId="10" fontId="34" fillId="0" borderId="248" xfId="0" applyNumberFormat="1" applyFont="1" applyBorder="1" applyAlignment="1">
      <alignment horizontal="center" vertical="center"/>
    </xf>
    <xf numFmtId="0" fontId="10" fillId="20" borderId="9" xfId="0" applyFont="1" applyFill="1" applyBorder="1" applyAlignment="1">
      <alignment horizontal="center" vertical="center" wrapText="1"/>
    </xf>
    <xf numFmtId="0" fontId="10" fillId="20" borderId="26" xfId="0" applyFont="1" applyFill="1" applyBorder="1" applyAlignment="1">
      <alignment horizontal="center" vertical="center" wrapText="1"/>
    </xf>
    <xf numFmtId="0" fontId="10" fillId="20" borderId="6" xfId="0" applyFont="1" applyFill="1" applyBorder="1" applyAlignment="1">
      <alignment horizontal="center" vertical="center" wrapText="1"/>
    </xf>
    <xf numFmtId="0" fontId="10" fillId="20" borderId="112" xfId="0" applyFont="1" applyFill="1" applyBorder="1" applyAlignment="1">
      <alignment horizontal="center" vertical="center" wrapText="1"/>
    </xf>
    <xf numFmtId="0" fontId="10" fillId="6" borderId="94" xfId="0" applyFont="1" applyFill="1" applyBorder="1" applyAlignment="1">
      <alignment horizontal="center" vertical="center" wrapText="1"/>
    </xf>
    <xf numFmtId="0" fontId="14" fillId="6" borderId="104" xfId="0" applyFont="1" applyFill="1" applyBorder="1" applyAlignment="1"/>
    <xf numFmtId="9" fontId="10" fillId="6" borderId="89" xfId="0" applyNumberFormat="1" applyFont="1" applyFill="1" applyBorder="1" applyAlignment="1">
      <alignment horizontal="center" vertical="center" wrapText="1"/>
    </xf>
    <xf numFmtId="0" fontId="14" fillId="6" borderId="102" xfId="0" applyFont="1" applyFill="1" applyBorder="1" applyAlignment="1"/>
    <xf numFmtId="14" fontId="10" fillId="0" borderId="0" xfId="0" applyNumberFormat="1" applyFont="1" applyAlignment="1">
      <alignment horizontal="center"/>
    </xf>
    <xf numFmtId="0" fontId="10" fillId="6" borderId="90" xfId="0" applyFont="1" applyFill="1" applyBorder="1" applyAlignment="1">
      <alignment horizontal="center" vertical="center" wrapText="1"/>
    </xf>
    <xf numFmtId="0" fontId="14" fillId="6" borderId="133" xfId="0" applyFont="1" applyFill="1" applyBorder="1" applyAlignment="1"/>
    <xf numFmtId="0" fontId="10" fillId="6" borderId="93" xfId="0" applyFont="1" applyFill="1" applyBorder="1" applyAlignment="1">
      <alignment horizontal="center" vertical="center" wrapText="1"/>
    </xf>
    <xf numFmtId="0" fontId="10" fillId="6" borderId="95" xfId="0" applyFont="1" applyFill="1" applyBorder="1" applyAlignment="1">
      <alignment horizontal="center" vertical="center" wrapText="1"/>
    </xf>
    <xf numFmtId="0" fontId="14" fillId="6" borderId="104" xfId="0" applyFont="1" applyFill="1" applyBorder="1" applyAlignment="1">
      <alignment vertical="center" wrapText="1"/>
    </xf>
    <xf numFmtId="0" fontId="10" fillId="6" borderId="116" xfId="0" applyFont="1" applyFill="1" applyBorder="1" applyAlignment="1">
      <alignment horizontal="center" vertical="center" wrapText="1"/>
    </xf>
    <xf numFmtId="0" fontId="14" fillId="6" borderId="108" xfId="0" applyFont="1" applyFill="1" applyBorder="1" applyAlignment="1"/>
    <xf numFmtId="0" fontId="10" fillId="6" borderId="114" xfId="0" applyFont="1" applyFill="1" applyBorder="1" applyAlignment="1">
      <alignment horizontal="center" vertical="center" wrapText="1"/>
    </xf>
    <xf numFmtId="0" fontId="10" fillId="6" borderId="106" xfId="0" applyFont="1" applyFill="1" applyBorder="1" applyAlignment="1">
      <alignment horizontal="center" vertical="center" wrapText="1"/>
    </xf>
    <xf numFmtId="0" fontId="10" fillId="2" borderId="0" xfId="0" applyFont="1" applyFill="1" applyAlignment="1">
      <alignment horizontal="center" vertical="center"/>
    </xf>
    <xf numFmtId="0" fontId="14" fillId="2" borderId="0" xfId="0" applyFont="1" applyFill="1" applyAlignment="1">
      <alignment horizontal="center"/>
    </xf>
    <xf numFmtId="0" fontId="10" fillId="6" borderId="228" xfId="0" applyFont="1" applyFill="1" applyBorder="1" applyAlignment="1">
      <alignment horizontal="center" vertical="center" wrapText="1"/>
    </xf>
    <xf numFmtId="0" fontId="14" fillId="6" borderId="128" xfId="0" applyFont="1" applyFill="1" applyBorder="1" applyAlignment="1"/>
    <xf numFmtId="0" fontId="14" fillId="2" borderId="264" xfId="0" applyFont="1" applyFill="1" applyBorder="1" applyAlignment="1">
      <alignment horizontal="center" vertical="center"/>
    </xf>
    <xf numFmtId="0" fontId="10" fillId="0" borderId="0" xfId="0" applyFont="1" applyAlignment="1">
      <alignment vertical="center"/>
    </xf>
    <xf numFmtId="0" fontId="10" fillId="0" borderId="0" xfId="0" applyFont="1" applyAlignment="1"/>
    <xf numFmtId="14" fontId="6" fillId="0" borderId="0" xfId="0" applyNumberFormat="1" applyFont="1" applyAlignment="1">
      <alignment horizontal="left" vertical="center"/>
    </xf>
    <xf numFmtId="0" fontId="14" fillId="0" borderId="0" xfId="0" applyFont="1" applyAlignment="1"/>
    <xf numFmtId="0" fontId="4" fillId="20" borderId="9" xfId="0" applyFont="1" applyFill="1" applyBorder="1" applyAlignment="1">
      <alignment horizontal="center" vertical="center" wrapText="1"/>
    </xf>
    <xf numFmtId="0" fontId="4" fillId="20" borderId="26"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10" fillId="2" borderId="264" xfId="0" applyFont="1" applyFill="1" applyBorder="1" applyAlignment="1">
      <alignment horizontal="center" vertical="center"/>
    </xf>
    <xf numFmtId="0" fontId="10" fillId="6" borderId="89" xfId="0" applyFont="1" applyFill="1" applyBorder="1" applyAlignment="1">
      <alignment horizontal="center" vertical="center" wrapText="1"/>
    </xf>
    <xf numFmtId="0" fontId="14" fillId="6" borderId="94" xfId="0" applyFont="1" applyFill="1" applyBorder="1" applyAlignment="1">
      <alignment horizontal="center" vertical="center" wrapText="1"/>
    </xf>
    <xf numFmtId="0" fontId="14" fillId="6" borderId="105" xfId="0" applyFont="1" applyFill="1" applyBorder="1" applyAlignment="1"/>
    <xf numFmtId="0" fontId="10" fillId="6" borderId="91" xfId="0" applyFont="1" applyFill="1" applyBorder="1" applyAlignment="1">
      <alignment horizontal="center" vertical="center" wrapText="1"/>
    </xf>
    <xf numFmtId="0" fontId="10" fillId="6" borderId="92" xfId="0" applyFont="1" applyFill="1" applyBorder="1" applyAlignment="1">
      <alignment horizontal="center" vertical="center" wrapText="1"/>
    </xf>
    <xf numFmtId="0" fontId="14" fillId="6" borderId="103" xfId="0" applyFont="1" applyFill="1" applyBorder="1" applyAlignment="1"/>
    <xf numFmtId="0" fontId="14" fillId="6" borderId="115" xfId="0" applyFont="1" applyFill="1" applyBorder="1" applyAlignment="1">
      <alignment horizontal="center" vertical="center" wrapText="1"/>
    </xf>
    <xf numFmtId="0" fontId="14" fillId="6" borderId="107" xfId="0" applyFont="1" applyFill="1" applyBorder="1" applyAlignment="1">
      <alignment horizontal="center" vertical="center" wrapText="1"/>
    </xf>
    <xf numFmtId="0" fontId="14" fillId="6" borderId="95" xfId="0" applyFont="1" applyFill="1" applyBorder="1" applyAlignment="1">
      <alignment horizontal="center" vertical="center" wrapText="1"/>
    </xf>
    <xf numFmtId="0" fontId="10" fillId="0" borderId="0" xfId="0" applyFont="1" applyAlignment="1">
      <alignment horizontal="center" vertical="center" wrapText="1"/>
    </xf>
    <xf numFmtId="164" fontId="1" fillId="10" borderId="127" xfId="0" applyNumberFormat="1" applyFont="1" applyFill="1" applyBorder="1" applyAlignment="1">
      <alignment horizontal="center" vertical="center"/>
    </xf>
    <xf numFmtId="164" fontId="1" fillId="10" borderId="117" xfId="0" applyNumberFormat="1" applyFont="1" applyFill="1" applyBorder="1" applyAlignment="1">
      <alignment horizontal="center" vertical="center"/>
    </xf>
    <xf numFmtId="164" fontId="1" fillId="10" borderId="101" xfId="0" applyNumberFormat="1" applyFont="1" applyFill="1" applyBorder="1" applyAlignment="1">
      <alignment horizontal="center" vertical="center"/>
    </xf>
    <xf numFmtId="0" fontId="1" fillId="0" borderId="0" xfId="0" applyFont="1" applyAlignment="1">
      <alignment horizontal="center" vertical="center"/>
    </xf>
    <xf numFmtId="0" fontId="43" fillId="6" borderId="130" xfId="0" applyFont="1" applyFill="1" applyBorder="1" applyAlignment="1">
      <alignment horizontal="center" vertical="center" wrapText="1"/>
    </xf>
    <xf numFmtId="0" fontId="43" fillId="6" borderId="99" xfId="0" applyFont="1" applyFill="1" applyBorder="1" applyAlignment="1">
      <alignment horizontal="center" vertical="center" wrapText="1"/>
    </xf>
    <xf numFmtId="0" fontId="33" fillId="6" borderId="109" xfId="0" applyFont="1" applyFill="1" applyBorder="1" applyAlignment="1">
      <alignment horizontal="center" vertical="center"/>
    </xf>
    <xf numFmtId="0" fontId="33" fillId="6" borderId="110" xfId="0" applyFont="1" applyFill="1" applyBorder="1" applyAlignment="1">
      <alignment horizontal="center" vertical="center"/>
    </xf>
    <xf numFmtId="0" fontId="33" fillId="6" borderId="111" xfId="0" applyFont="1" applyFill="1" applyBorder="1" applyAlignment="1">
      <alignment horizontal="center" vertical="center"/>
    </xf>
    <xf numFmtId="0" fontId="43" fillId="6" borderId="96" xfId="0" applyFont="1" applyFill="1" applyBorder="1" applyAlignment="1">
      <alignment horizontal="center" vertical="center" wrapText="1"/>
    </xf>
    <xf numFmtId="0" fontId="43" fillId="6" borderId="97" xfId="0" applyFont="1" applyFill="1" applyBorder="1" applyAlignment="1">
      <alignment horizontal="center" vertical="center" wrapText="1"/>
    </xf>
    <xf numFmtId="0" fontId="33" fillId="0" borderId="96" xfId="0" applyFont="1" applyBorder="1" applyAlignment="1">
      <alignment vertical="center"/>
    </xf>
    <xf numFmtId="0" fontId="28" fillId="0" borderId="97" xfId="0" applyFont="1" applyBorder="1" applyAlignment="1"/>
    <xf numFmtId="0" fontId="33" fillId="0" borderId="130" xfId="0" applyFont="1" applyBorder="1" applyAlignment="1">
      <alignment vertical="center"/>
    </xf>
    <xf numFmtId="0" fontId="28" fillId="0" borderId="99" xfId="0" applyFont="1" applyBorder="1" applyAlignment="1"/>
    <xf numFmtId="0" fontId="33" fillId="0" borderId="109" xfId="0" applyFont="1" applyBorder="1" applyAlignment="1">
      <alignment horizontal="left" vertical="center" wrapText="1"/>
    </xf>
    <xf numFmtId="0" fontId="28" fillId="0" borderId="110" xfId="0" applyFont="1" applyBorder="1" applyAlignment="1">
      <alignment horizontal="left"/>
    </xf>
    <xf numFmtId="0" fontId="13" fillId="0" borderId="0" xfId="0" applyFont="1" applyAlignment="1">
      <alignment horizontal="center" vertical="center"/>
    </xf>
    <xf numFmtId="0" fontId="1" fillId="0" borderId="0" xfId="0" applyFont="1" applyAlignment="1">
      <alignment horizontal="left" vertical="center"/>
    </xf>
    <xf numFmtId="43" fontId="1" fillId="0" borderId="0" xfId="0" applyNumberFormat="1" applyFont="1" applyAlignment="1">
      <alignment horizontal="center" vertical="center"/>
    </xf>
    <xf numFmtId="0" fontId="1" fillId="0" borderId="0" xfId="0" applyFont="1" applyAlignment="1"/>
    <xf numFmtId="164" fontId="1" fillId="10" borderId="97" xfId="0" applyNumberFormat="1" applyFont="1" applyFill="1" applyBorder="1" applyAlignment="1">
      <alignment horizontal="center" vertical="center"/>
    </xf>
    <xf numFmtId="0" fontId="33" fillId="6" borderId="126" xfId="0" applyFont="1" applyFill="1" applyBorder="1" applyAlignment="1">
      <alignment horizontal="center" vertical="center" wrapText="1"/>
    </xf>
    <xf numFmtId="0" fontId="33" fillId="6" borderId="119" xfId="0" applyFont="1" applyFill="1" applyBorder="1" applyAlignment="1">
      <alignment horizontal="center" vertical="center" wrapText="1"/>
    </xf>
    <xf numFmtId="0" fontId="33" fillId="6" borderId="120" xfId="0" applyFont="1" applyFill="1" applyBorder="1" applyAlignment="1">
      <alignment horizontal="center" vertical="center" wrapText="1"/>
    </xf>
    <xf numFmtId="0" fontId="33" fillId="0" borderId="0" xfId="0" applyFont="1" applyAlignment="1">
      <alignment horizontal="center" vertical="center"/>
    </xf>
    <xf numFmtId="0" fontId="42" fillId="0" borderId="0" xfId="0" applyFont="1" applyAlignment="1">
      <alignment horizontal="center" vertical="center"/>
    </xf>
    <xf numFmtId="14" fontId="32" fillId="0" borderId="0" xfId="0" applyNumberFormat="1" applyFont="1" applyAlignment="1">
      <alignment horizontal="left" vertical="center"/>
    </xf>
    <xf numFmtId="0" fontId="28" fillId="0" borderId="0" xfId="0" applyFont="1" applyAlignment="1"/>
    <xf numFmtId="0" fontId="33" fillId="6" borderId="109" xfId="0" applyFont="1" applyFill="1" applyBorder="1" applyAlignment="1">
      <alignment horizontal="center" vertical="center" wrapText="1"/>
    </xf>
    <xf numFmtId="0" fontId="28" fillId="6" borderId="110" xfId="0" applyFont="1" applyFill="1" applyBorder="1" applyAlignment="1"/>
    <xf numFmtId="0" fontId="14" fillId="0" borderId="0" xfId="0" applyFont="1" applyAlignment="1">
      <alignment vertical="center"/>
    </xf>
    <xf numFmtId="0" fontId="10" fillId="14" borderId="119" xfId="0" applyFont="1" applyFill="1" applyBorder="1" applyAlignment="1">
      <alignment vertical="center" wrapText="1"/>
    </xf>
    <xf numFmtId="165" fontId="10" fillId="14" borderId="119" xfId="2" applyNumberFormat="1" applyFont="1" applyFill="1" applyBorder="1" applyAlignment="1" applyProtection="1">
      <alignment horizontal="center" vertical="center"/>
    </xf>
    <xf numFmtId="165" fontId="10" fillId="14" borderId="120" xfId="2" applyNumberFormat="1" applyFont="1" applyFill="1" applyBorder="1" applyAlignment="1" applyProtection="1">
      <alignment horizontal="center" vertical="center"/>
    </xf>
    <xf numFmtId="0" fontId="10" fillId="14" borderId="104" xfId="0" applyFont="1" applyFill="1" applyBorder="1" applyAlignment="1">
      <alignment vertical="center" wrapText="1"/>
    </xf>
    <xf numFmtId="165" fontId="10" fillId="14" borderId="104" xfId="0" applyNumberFormat="1" applyFont="1" applyFill="1" applyBorder="1" applyAlignment="1">
      <alignment horizontal="center" vertical="center"/>
    </xf>
    <xf numFmtId="165" fontId="10" fillId="14" borderId="105" xfId="0" applyNumberFormat="1" applyFont="1" applyFill="1" applyBorder="1" applyAlignment="1">
      <alignment horizontal="center" vertical="center"/>
    </xf>
    <xf numFmtId="0" fontId="14" fillId="0" borderId="0" xfId="0" applyFont="1" applyAlignment="1">
      <alignment horizontal="center" vertical="center"/>
    </xf>
    <xf numFmtId="0" fontId="4" fillId="6" borderId="110" xfId="0" applyFont="1" applyFill="1" applyBorder="1" applyAlignment="1">
      <alignment vertical="center" wrapText="1"/>
    </xf>
    <xf numFmtId="165" fontId="4" fillId="6" borderId="110" xfId="0" applyNumberFormat="1" applyFont="1" applyFill="1" applyBorder="1" applyAlignment="1">
      <alignment horizontal="center" vertical="center"/>
    </xf>
    <xf numFmtId="165" fontId="4" fillId="6" borderId="111" xfId="0" applyNumberFormat="1" applyFont="1" applyFill="1" applyBorder="1" applyAlignment="1">
      <alignment horizontal="center" vertical="center"/>
    </xf>
    <xf numFmtId="0" fontId="13" fillId="0" borderId="0" xfId="0" applyFont="1" applyAlignment="1">
      <alignment horizontal="center" vertical="center" wrapText="1"/>
    </xf>
    <xf numFmtId="0" fontId="4" fillId="14" borderId="113" xfId="0" applyFont="1" applyFill="1" applyBorder="1" applyAlignment="1">
      <alignment horizontal="center" vertical="center" wrapText="1"/>
    </xf>
    <xf numFmtId="0" fontId="4" fillId="14" borderId="114" xfId="0" applyFont="1" applyFill="1" applyBorder="1" applyAlignment="1">
      <alignment horizontal="center" vertical="center" wrapText="1"/>
    </xf>
    <xf numFmtId="0" fontId="4" fillId="14" borderId="114" xfId="0" applyFont="1" applyFill="1" applyBorder="1" applyAlignment="1">
      <alignment horizontal="center" vertical="center"/>
    </xf>
    <xf numFmtId="0" fontId="4" fillId="14" borderId="115" xfId="0" applyFont="1" applyFill="1" applyBorder="1" applyAlignment="1">
      <alignment horizontal="center" vertical="center"/>
    </xf>
    <xf numFmtId="164" fontId="4" fillId="14" borderId="119" xfId="0" applyNumberFormat="1" applyFont="1" applyFill="1" applyBorder="1" applyAlignment="1">
      <alignment horizontal="center" vertical="center" wrapText="1"/>
    </xf>
    <xf numFmtId="164" fontId="4" fillId="14" borderId="97" xfId="0" applyNumberFormat="1" applyFont="1" applyFill="1" applyBorder="1" applyAlignment="1">
      <alignment horizontal="center" vertical="center" wrapText="1"/>
    </xf>
    <xf numFmtId="164" fontId="4" fillId="14" borderId="99" xfId="0" applyNumberFormat="1" applyFont="1" applyFill="1" applyBorder="1" applyAlignment="1">
      <alignment horizontal="center" vertical="center" wrapText="1"/>
    </xf>
    <xf numFmtId="164" fontId="4" fillId="14" borderId="120" xfId="0" applyNumberFormat="1" applyFont="1" applyFill="1" applyBorder="1" applyAlignment="1">
      <alignment horizontal="center" vertical="center" wrapText="1"/>
    </xf>
    <xf numFmtId="164" fontId="4" fillId="14" borderId="98" xfId="0" applyNumberFormat="1" applyFont="1" applyFill="1" applyBorder="1" applyAlignment="1">
      <alignment horizontal="center" vertical="center" wrapText="1"/>
    </xf>
    <xf numFmtId="164" fontId="4" fillId="14" borderId="100" xfId="0" applyNumberFormat="1" applyFont="1" applyFill="1" applyBorder="1" applyAlignment="1">
      <alignment horizontal="center" vertical="center" wrapText="1"/>
    </xf>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14" fontId="6" fillId="0" borderId="64" xfId="0" applyNumberFormat="1" applyFont="1" applyBorder="1" applyAlignment="1">
      <alignment horizontal="left" vertical="center"/>
    </xf>
    <xf numFmtId="0" fontId="4" fillId="0" borderId="97" xfId="0" applyFont="1" applyBorder="1" applyAlignment="1">
      <alignment vertical="center" wrapText="1"/>
    </xf>
    <xf numFmtId="0" fontId="4" fillId="6" borderId="97" xfId="0" applyFont="1" applyFill="1" applyBorder="1" applyAlignment="1">
      <alignment horizontal="center" vertical="center"/>
    </xf>
    <xf numFmtId="165" fontId="4" fillId="6" borderId="97" xfId="0" applyNumberFormat="1" applyFont="1" applyFill="1" applyBorder="1" applyAlignment="1">
      <alignment horizontal="center" vertical="center"/>
    </xf>
    <xf numFmtId="165" fontId="13" fillId="6" borderId="97" xfId="0" applyNumberFormat="1" applyFont="1" applyFill="1" applyBorder="1" applyAlignment="1">
      <alignment horizontal="center" vertical="center"/>
    </xf>
    <xf numFmtId="165" fontId="10" fillId="0" borderId="97" xfId="0" applyNumberFormat="1" applyFont="1" applyBorder="1" applyAlignment="1">
      <alignment vertical="center" wrapText="1"/>
    </xf>
    <xf numFmtId="0" fontId="60" fillId="0" borderId="279" xfId="0" applyFont="1" applyBorder="1" applyAlignment="1">
      <alignment horizontal="right" vertical="center" wrapText="1"/>
    </xf>
  </cellXfs>
  <cellStyles count="8">
    <cellStyle name="Comma" xfId="1" builtinId="3"/>
    <cellStyle name="Hyperlink" xfId="7" builtinId="8"/>
    <cellStyle name="Normal" xfId="0" builtinId="0"/>
    <cellStyle name="Normal 2" xfId="3" xr:uid="{0D4CD916-5469-440B-94D5-5E05206A3318}"/>
    <cellStyle name="Normal_CSU-req-info NEW" xfId="5" xr:uid="{E0A71405-DCAA-4DD3-A726-9A978FD7D8CA}"/>
    <cellStyle name="Normal_report   ub city 00-08" xfId="6" xr:uid="{E78CE4D5-F639-4CBA-A39C-047CE78672F5}"/>
    <cellStyle name="Percent" xfId="2" builtinId="5"/>
    <cellStyle name="Percent 2" xfId="4" xr:uid="{5C20C2FC-CBBE-4D61-A249-0781BA1D04DE}"/>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406/ncWtZ/%D0%9049-%D0%A5%D0%97%D0%A5-%D0%B6%D1%83%D1%80%D0%B0%D0%BC.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legalinfo.mn/mn/detail/14299/2/209675"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toc.mn/publication/mongol-ulsyn-nogoon-taksonomi"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D226-CF91-4C41-B1C5-7B32B863CC8A}">
  <dimension ref="A1:H41"/>
  <sheetViews>
    <sheetView workbookViewId="0">
      <selection activeCell="A2" sqref="A2:H2"/>
    </sheetView>
  </sheetViews>
  <sheetFormatPr defaultRowHeight="12.75"/>
  <cols>
    <col min="1" max="1" width="3.5703125" style="180" customWidth="1"/>
    <col min="2" max="2" width="161.140625" style="180" customWidth="1"/>
    <col min="3" max="16384" width="9.140625" style="180"/>
  </cols>
  <sheetData>
    <row r="1" spans="1:8" ht="60.75" customHeight="1" thickBot="1">
      <c r="A1" s="1370" t="s">
        <v>0</v>
      </c>
      <c r="B1" s="1370"/>
      <c r="C1" s="1370"/>
      <c r="D1" s="1370"/>
      <c r="E1" s="1370"/>
      <c r="F1" s="1370"/>
      <c r="G1" s="1370"/>
      <c r="H1" s="1370"/>
    </row>
    <row r="2" spans="1:8" ht="73.5" customHeight="1" thickBot="1">
      <c r="A2" s="1371" t="s">
        <v>1</v>
      </c>
      <c r="B2" s="1372"/>
      <c r="C2" s="1372"/>
      <c r="D2" s="1372"/>
      <c r="E2" s="1372"/>
      <c r="F2" s="1372"/>
      <c r="G2" s="1372"/>
      <c r="H2" s="1373"/>
    </row>
    <row r="3" spans="1:8">
      <c r="A3" s="41"/>
    </row>
    <row r="4" spans="1:8">
      <c r="B4" s="682" t="s">
        <v>2</v>
      </c>
    </row>
    <row r="5" spans="1:8">
      <c r="A5" s="180">
        <v>1</v>
      </c>
      <c r="B5" s="180" t="s">
        <v>3</v>
      </c>
    </row>
    <row r="6" spans="1:8">
      <c r="A6" s="180">
        <v>2</v>
      </c>
      <c r="B6" s="180" t="s">
        <v>4</v>
      </c>
    </row>
    <row r="7" spans="1:8">
      <c r="A7" s="180">
        <v>3</v>
      </c>
      <c r="B7" s="180" t="s">
        <v>5</v>
      </c>
    </row>
    <row r="8" spans="1:8">
      <c r="A8" s="180">
        <v>4</v>
      </c>
      <c r="B8" s="180" t="s">
        <v>6</v>
      </c>
    </row>
    <row r="9" spans="1:8">
      <c r="A9" s="180">
        <v>5</v>
      </c>
      <c r="B9" s="180" t="s">
        <v>7</v>
      </c>
    </row>
    <row r="10" spans="1:8" ht="12" customHeight="1">
      <c r="A10" s="180">
        <v>6</v>
      </c>
      <c r="B10" s="41" t="s">
        <v>8</v>
      </c>
    </row>
    <row r="11" spans="1:8">
      <c r="A11" s="180">
        <v>7</v>
      </c>
      <c r="B11" s="41" t="s">
        <v>9</v>
      </c>
    </row>
    <row r="12" spans="1:8">
      <c r="A12" s="180">
        <v>8</v>
      </c>
      <c r="B12" s="180" t="s">
        <v>10</v>
      </c>
    </row>
    <row r="13" spans="1:8">
      <c r="A13" s="180">
        <v>9</v>
      </c>
      <c r="B13" s="180" t="s">
        <v>11</v>
      </c>
    </row>
    <row r="14" spans="1:8">
      <c r="A14" s="180">
        <v>10</v>
      </c>
      <c r="B14" s="180" t="s">
        <v>12</v>
      </c>
    </row>
    <row r="15" spans="1:8">
      <c r="A15" s="180">
        <v>11</v>
      </c>
      <c r="B15" s="180" t="s">
        <v>13</v>
      </c>
    </row>
    <row r="16" spans="1:8" ht="15">
      <c r="A16" s="180">
        <v>12</v>
      </c>
      <c r="B16" s="684" t="s">
        <v>14</v>
      </c>
    </row>
    <row r="17" spans="1:2">
      <c r="A17" s="180">
        <v>14</v>
      </c>
      <c r="B17" s="180" t="s">
        <v>15</v>
      </c>
    </row>
    <row r="18" spans="1:2">
      <c r="A18" s="180">
        <v>15</v>
      </c>
      <c r="B18" s="902" t="s">
        <v>16</v>
      </c>
    </row>
    <row r="19" spans="1:2" ht="89.25">
      <c r="A19" s="7">
        <v>16</v>
      </c>
      <c r="B19" s="903" t="s">
        <v>17</v>
      </c>
    </row>
    <row r="20" spans="1:2" ht="14.25" customHeight="1">
      <c r="A20" s="180">
        <v>17</v>
      </c>
      <c r="B20" s="180" t="s">
        <v>18</v>
      </c>
    </row>
    <row r="21" spans="1:2" ht="14.25" customHeight="1">
      <c r="A21" s="180">
        <v>18</v>
      </c>
      <c r="B21" s="180" t="s">
        <v>19</v>
      </c>
    </row>
    <row r="22" spans="1:2">
      <c r="A22" s="180">
        <v>19</v>
      </c>
      <c r="B22" s="180" t="s">
        <v>20</v>
      </c>
    </row>
    <row r="23" spans="1:2" ht="13.5" thickBot="1"/>
    <row r="24" spans="1:2" ht="36.75" customHeight="1" thickBot="1">
      <c r="B24" s="680" t="s">
        <v>21</v>
      </c>
    </row>
    <row r="25" spans="1:2">
      <c r="A25" s="180">
        <v>1</v>
      </c>
      <c r="B25" s="685" t="s">
        <v>22</v>
      </c>
    </row>
    <row r="26" spans="1:2">
      <c r="A26" s="180">
        <v>2</v>
      </c>
      <c r="B26" s="685" t="s">
        <v>23</v>
      </c>
    </row>
    <row r="27" spans="1:2">
      <c r="A27" s="180">
        <v>3</v>
      </c>
      <c r="B27" s="685" t="s">
        <v>24</v>
      </c>
    </row>
    <row r="28" spans="1:2">
      <c r="A28" s="180">
        <v>4</v>
      </c>
      <c r="B28" s="685" t="s">
        <v>25</v>
      </c>
    </row>
    <row r="29" spans="1:2">
      <c r="A29" s="180">
        <v>5</v>
      </c>
      <c r="B29" s="685" t="s">
        <v>26</v>
      </c>
    </row>
    <row r="30" spans="1:2">
      <c r="A30" s="180">
        <v>6</v>
      </c>
      <c r="B30" s="685" t="s">
        <v>27</v>
      </c>
    </row>
    <row r="31" spans="1:2">
      <c r="A31" s="180">
        <v>7</v>
      </c>
      <c r="B31" s="685" t="s">
        <v>28</v>
      </c>
    </row>
    <row r="32" spans="1:2">
      <c r="A32" s="180">
        <v>8</v>
      </c>
      <c r="B32" s="685" t="s">
        <v>29</v>
      </c>
    </row>
    <row r="33" spans="1:2">
      <c r="A33" s="180">
        <v>9</v>
      </c>
      <c r="B33" s="685" t="s">
        <v>30</v>
      </c>
    </row>
    <row r="34" spans="1:2">
      <c r="A34" s="180">
        <v>10</v>
      </c>
      <c r="B34" s="685" t="s">
        <v>31</v>
      </c>
    </row>
    <row r="35" spans="1:2">
      <c r="A35" s="180">
        <v>11</v>
      </c>
      <c r="B35" s="685" t="s">
        <v>32</v>
      </c>
    </row>
    <row r="36" spans="1:2">
      <c r="A36" s="180">
        <v>12</v>
      </c>
      <c r="B36" s="685" t="s">
        <v>33</v>
      </c>
    </row>
    <row r="37" spans="1:2" s="1374" customFormat="1">
      <c r="A37" s="1374">
        <v>11</v>
      </c>
    </row>
    <row r="39" spans="1:2">
      <c r="B39" s="681"/>
    </row>
    <row r="41" spans="1:2">
      <c r="B41" s="683"/>
    </row>
  </sheetData>
  <sheetProtection algorithmName="SHA-512" hashValue="eged5mcNWE/sYlspaiPhtU+fxzccs9wQRSQ2pNq3o3l0ZglWcifaEAfdOrDM9WI2CxLMquXnb0wpVfWLOma8Aw==" saltValue="Vpy/Vl7vamnIdb+387w7sQ==" spinCount="100000" sheet="1" objects="1" scenarios="1"/>
  <mergeCells count="3">
    <mergeCell ref="A1:H1"/>
    <mergeCell ref="A2:H2"/>
    <mergeCell ref="A37:XFD37"/>
  </mergeCells>
  <hyperlinks>
    <hyperlink ref="B16" r:id="rId1" xr:uid="{AF821F8C-039D-4B54-9055-E9E2748D642D}"/>
  </hyperlinks>
  <pageMargins left="0.7" right="0.7" top="0.75" bottom="0.75" header="0.3" footer="0.3"/>
  <pageSetup paperSize="9" scale="3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43505-CC4E-4154-B319-DBC19C09212F}">
  <dimension ref="A1:P66"/>
  <sheetViews>
    <sheetView topLeftCell="A19" zoomScale="85" zoomScaleNormal="85" workbookViewId="0">
      <selection activeCell="O49" sqref="O49"/>
    </sheetView>
  </sheetViews>
  <sheetFormatPr defaultRowHeight="12.75"/>
  <cols>
    <col min="1" max="1" width="3.28515625" style="180" bestFit="1" customWidth="1"/>
    <col min="2" max="2" width="28.28515625" style="180" customWidth="1"/>
    <col min="3" max="3" width="12.7109375" style="180" customWidth="1"/>
    <col min="4" max="4" width="8.28515625" style="180" customWidth="1"/>
    <col min="5" max="5" width="20.140625" style="180" bestFit="1" customWidth="1"/>
    <col min="6" max="6" width="18.42578125" style="679" customWidth="1"/>
    <col min="7" max="7" width="14.42578125" style="180" customWidth="1"/>
    <col min="8" max="8" width="14.28515625" style="180" customWidth="1"/>
    <col min="9" max="9" width="13.5703125" style="180" customWidth="1"/>
    <col min="10" max="10" width="20.7109375" style="180" customWidth="1"/>
    <col min="11" max="12" width="20.140625" style="180" bestFit="1" customWidth="1"/>
    <col min="13" max="13" width="16.5703125" style="180" customWidth="1"/>
    <col min="14" max="14" width="14.7109375" style="180" customWidth="1"/>
    <col min="15" max="15" width="25.28515625" style="180" customWidth="1"/>
    <col min="16" max="16" width="18.42578125" style="180" customWidth="1"/>
    <col min="17" max="16384" width="9.140625" style="180"/>
  </cols>
  <sheetData>
    <row r="1" spans="1:16">
      <c r="A1" s="7"/>
      <c r="B1" s="7"/>
      <c r="C1" s="7"/>
      <c r="D1" s="7"/>
      <c r="E1" s="7"/>
      <c r="F1" s="29"/>
      <c r="G1" s="7"/>
      <c r="H1" s="6"/>
      <c r="L1" s="58"/>
      <c r="M1" s="58"/>
      <c r="N1" s="58"/>
      <c r="P1" s="58" t="s">
        <v>34</v>
      </c>
    </row>
    <row r="2" spans="1:16">
      <c r="A2" s="7"/>
      <c r="B2" s="7"/>
      <c r="C2" s="7"/>
      <c r="D2" s="7"/>
      <c r="E2" s="7"/>
      <c r="F2" s="29"/>
      <c r="G2" s="7"/>
      <c r="H2" s="6"/>
      <c r="L2" s="58"/>
      <c r="M2" s="58"/>
      <c r="N2" s="58"/>
      <c r="P2" s="58" t="s">
        <v>903</v>
      </c>
    </row>
    <row r="3" spans="1:16">
      <c r="A3" s="7"/>
      <c r="B3" s="7"/>
      <c r="C3" s="7"/>
      <c r="D3" s="7"/>
      <c r="E3" s="7"/>
      <c r="F3" s="29"/>
      <c r="G3" s="7"/>
      <c r="H3" s="7"/>
      <c r="I3" s="7"/>
      <c r="J3" s="7"/>
      <c r="K3" s="7"/>
      <c r="L3" s="7"/>
      <c r="M3" s="7"/>
      <c r="N3" s="7"/>
    </row>
    <row r="4" spans="1:16">
      <c r="A4" s="1419" t="s">
        <v>904</v>
      </c>
      <c r="B4" s="1419"/>
      <c r="C4" s="1419"/>
      <c r="D4" s="1419"/>
      <c r="E4" s="1419"/>
      <c r="F4" s="1419"/>
      <c r="G4" s="1419"/>
      <c r="H4" s="1419"/>
      <c r="I4" s="1419"/>
      <c r="J4" s="1419"/>
      <c r="K4" s="1419"/>
      <c r="L4" s="1419"/>
      <c r="M4" s="1419"/>
      <c r="N4" s="1419"/>
      <c r="O4" s="1419"/>
      <c r="P4" s="1419"/>
    </row>
    <row r="5" spans="1:16">
      <c r="A5" s="1420" t="str">
        <f>+STATISTICS!A5</f>
        <v>ХАДГАЛАМЖ, ЗЭЭЛИЙН ХОРШООНЫ НЭР</v>
      </c>
      <c r="B5" s="1420"/>
      <c r="C5" s="1420"/>
      <c r="D5" s="1420"/>
      <c r="E5" s="1420"/>
      <c r="F5" s="1420"/>
      <c r="G5" s="1420"/>
      <c r="H5" s="1420"/>
      <c r="I5" s="1420"/>
      <c r="J5" s="1420"/>
      <c r="K5" s="1420"/>
      <c r="L5" s="1420"/>
      <c r="M5" s="1420"/>
      <c r="N5" s="1420"/>
      <c r="O5" s="1420"/>
      <c r="P5" s="1420"/>
    </row>
    <row r="6" spans="1:16">
      <c r="A6" s="1419" t="s">
        <v>38</v>
      </c>
      <c r="B6" s="1419"/>
      <c r="C6" s="1419"/>
      <c r="D6" s="1419"/>
      <c r="E6" s="1419"/>
      <c r="F6" s="1419"/>
      <c r="G6" s="1419"/>
      <c r="H6" s="1419"/>
      <c r="I6" s="1419"/>
      <c r="J6" s="1419"/>
      <c r="K6" s="1419"/>
      <c r="L6" s="1419"/>
      <c r="M6" s="1419"/>
      <c r="N6" s="1419"/>
      <c r="O6" s="1419"/>
      <c r="P6" s="1419"/>
    </row>
    <row r="7" spans="1:16">
      <c r="A7" s="7"/>
      <c r="B7" s="7"/>
      <c r="C7" s="7"/>
      <c r="D7" s="7"/>
      <c r="E7" s="7"/>
      <c r="F7" s="29"/>
      <c r="G7" s="7"/>
      <c r="H7" s="7"/>
      <c r="I7" s="7"/>
      <c r="J7" s="7"/>
      <c r="K7" s="7"/>
      <c r="L7" s="7"/>
      <c r="M7" s="7"/>
      <c r="N7" s="7"/>
    </row>
    <row r="8" spans="1:16" ht="13.5" customHeight="1" thickBot="1">
      <c r="A8" s="1597"/>
      <c r="B8" s="1598"/>
      <c r="C8" s="505"/>
      <c r="D8" s="954"/>
      <c r="E8" s="506"/>
      <c r="F8" s="929"/>
      <c r="G8" s="506"/>
      <c r="H8" s="506"/>
      <c r="I8" s="7"/>
      <c r="J8" s="7"/>
      <c r="K8" s="7"/>
      <c r="L8" s="7"/>
      <c r="M8" s="7"/>
      <c r="P8" s="474" t="s">
        <v>117</v>
      </c>
    </row>
    <row r="9" spans="1:16" ht="63.75">
      <c r="A9" s="517" t="s">
        <v>39</v>
      </c>
      <c r="B9" s="518" t="s">
        <v>905</v>
      </c>
      <c r="C9" s="904" t="s">
        <v>906</v>
      </c>
      <c r="D9" s="946" t="s">
        <v>876</v>
      </c>
      <c r="E9" s="519" t="s">
        <v>861</v>
      </c>
      <c r="F9" s="519" t="s">
        <v>863</v>
      </c>
      <c r="G9" s="520" t="s">
        <v>864</v>
      </c>
      <c r="H9" s="520" t="s">
        <v>865</v>
      </c>
      <c r="I9" s="520" t="s">
        <v>866</v>
      </c>
      <c r="J9" s="904" t="s">
        <v>867</v>
      </c>
      <c r="K9" s="904" t="s">
        <v>868</v>
      </c>
      <c r="L9" s="904" t="s">
        <v>869</v>
      </c>
      <c r="M9" s="968" t="s">
        <v>870</v>
      </c>
      <c r="N9" s="969" t="s">
        <v>871</v>
      </c>
      <c r="O9" s="969" t="s">
        <v>907</v>
      </c>
      <c r="P9" s="969" t="s">
        <v>908</v>
      </c>
    </row>
    <row r="10" spans="1:16">
      <c r="A10" s="507">
        <v>1</v>
      </c>
      <c r="B10" s="511"/>
      <c r="C10" s="1021"/>
      <c r="D10" s="479"/>
      <c r="E10" s="509"/>
      <c r="F10" s="924"/>
      <c r="G10" s="482"/>
      <c r="H10" s="482"/>
      <c r="I10" s="482"/>
      <c r="J10" s="491"/>
      <c r="K10" s="484"/>
      <c r="L10" s="484"/>
      <c r="M10" s="504"/>
      <c r="N10" s="930" t="e">
        <f>+L10/Balancesheet!$G$59</f>
        <v>#DIV/0!</v>
      </c>
      <c r="O10" s="913">
        <f>+SUMIF($C$10:$C$49,C10,$L$10:$L$49)</f>
        <v>0</v>
      </c>
      <c r="P10" s="932" t="e">
        <f>+O10/Balancesheet!$G$59</f>
        <v>#DIV/0!</v>
      </c>
    </row>
    <row r="11" spans="1:16">
      <c r="A11" s="510">
        <v>2</v>
      </c>
      <c r="B11" s="511"/>
      <c r="C11" s="1022"/>
      <c r="D11" s="479"/>
      <c r="E11" s="512"/>
      <c r="F11" s="924"/>
      <c r="G11" s="490"/>
      <c r="H11" s="490"/>
      <c r="I11" s="490"/>
      <c r="J11" s="491"/>
      <c r="K11" s="492"/>
      <c r="L11" s="492"/>
      <c r="M11" s="504"/>
      <c r="N11" s="930" t="e">
        <f>+L11/Balancesheet!$G$59</f>
        <v>#DIV/0!</v>
      </c>
      <c r="O11" s="913">
        <f t="shared" ref="O11:O49" si="0">+SUMIF($C$10:$C$49,C11,$L$10:$L$49)</f>
        <v>0</v>
      </c>
      <c r="P11" s="932" t="e">
        <f>+O11/Balancesheet!$G$59</f>
        <v>#DIV/0!</v>
      </c>
    </row>
    <row r="12" spans="1:16">
      <c r="A12" s="510">
        <v>3</v>
      </c>
      <c r="B12" s="511"/>
      <c r="C12" s="1022"/>
      <c r="D12" s="479"/>
      <c r="E12" s="512"/>
      <c r="F12" s="924"/>
      <c r="G12" s="490"/>
      <c r="H12" s="490"/>
      <c r="I12" s="490"/>
      <c r="J12" s="491"/>
      <c r="K12" s="492"/>
      <c r="L12" s="492"/>
      <c r="M12" s="504"/>
      <c r="N12" s="930" t="e">
        <f>+L12/Balancesheet!$G$59</f>
        <v>#DIV/0!</v>
      </c>
      <c r="O12" s="913">
        <f t="shared" si="0"/>
        <v>0</v>
      </c>
      <c r="P12" s="932" t="e">
        <f>+O12/Balancesheet!$G$59</f>
        <v>#DIV/0!</v>
      </c>
    </row>
    <row r="13" spans="1:16">
      <c r="A13" s="510">
        <v>4</v>
      </c>
      <c r="B13" s="511"/>
      <c r="C13" s="1022"/>
      <c r="D13" s="479"/>
      <c r="E13" s="512"/>
      <c r="F13" s="924"/>
      <c r="G13" s="490"/>
      <c r="H13" s="490"/>
      <c r="I13" s="490"/>
      <c r="J13" s="491"/>
      <c r="K13" s="492"/>
      <c r="L13" s="492"/>
      <c r="M13" s="504"/>
      <c r="N13" s="930" t="e">
        <f>+L13/Balancesheet!$G$59</f>
        <v>#DIV/0!</v>
      </c>
      <c r="O13" s="913">
        <f>+SUMIF($C$10:$C$49,C13,$L$10:$L$49)</f>
        <v>0</v>
      </c>
      <c r="P13" s="932" t="e">
        <f>+O13/Balancesheet!$G$59</f>
        <v>#DIV/0!</v>
      </c>
    </row>
    <row r="14" spans="1:16">
      <c r="A14" s="510">
        <v>5</v>
      </c>
      <c r="B14" s="511"/>
      <c r="C14" s="1022"/>
      <c r="D14" s="479"/>
      <c r="E14" s="512"/>
      <c r="F14" s="924"/>
      <c r="G14" s="490"/>
      <c r="H14" s="490"/>
      <c r="I14" s="490"/>
      <c r="J14" s="491"/>
      <c r="K14" s="492"/>
      <c r="L14" s="492"/>
      <c r="M14" s="504"/>
      <c r="N14" s="930" t="e">
        <f>+L14/Balancesheet!$G$59</f>
        <v>#DIV/0!</v>
      </c>
      <c r="O14" s="913">
        <f t="shared" si="0"/>
        <v>0</v>
      </c>
      <c r="P14" s="932" t="e">
        <f>+O14/Balancesheet!$G$59</f>
        <v>#DIV/0!</v>
      </c>
    </row>
    <row r="15" spans="1:16">
      <c r="A15" s="510">
        <v>6</v>
      </c>
      <c r="B15" s="511"/>
      <c r="C15" s="1022"/>
      <c r="D15" s="479"/>
      <c r="E15" s="512"/>
      <c r="F15" s="924"/>
      <c r="G15" s="490"/>
      <c r="H15" s="490"/>
      <c r="I15" s="490"/>
      <c r="J15" s="491"/>
      <c r="K15" s="492"/>
      <c r="L15" s="492"/>
      <c r="M15" s="504"/>
      <c r="N15" s="930" t="e">
        <f>+L15/Balancesheet!$G$59</f>
        <v>#DIV/0!</v>
      </c>
      <c r="O15" s="913">
        <f t="shared" si="0"/>
        <v>0</v>
      </c>
      <c r="P15" s="932" t="e">
        <f>+O15/Balancesheet!$G$59</f>
        <v>#DIV/0!</v>
      </c>
    </row>
    <row r="16" spans="1:16">
      <c r="A16" s="510">
        <v>7</v>
      </c>
      <c r="B16" s="511"/>
      <c r="C16" s="1022"/>
      <c r="D16" s="479"/>
      <c r="E16" s="512"/>
      <c r="F16" s="924"/>
      <c r="G16" s="490"/>
      <c r="H16" s="490"/>
      <c r="I16" s="490"/>
      <c r="J16" s="491"/>
      <c r="K16" s="492"/>
      <c r="L16" s="492"/>
      <c r="M16" s="504"/>
      <c r="N16" s="930" t="e">
        <f>+L16/Balancesheet!$G$59</f>
        <v>#DIV/0!</v>
      </c>
      <c r="O16" s="913">
        <f t="shared" si="0"/>
        <v>0</v>
      </c>
      <c r="P16" s="932" t="e">
        <f>+O16/Balancesheet!$G$59</f>
        <v>#DIV/0!</v>
      </c>
    </row>
    <row r="17" spans="1:16">
      <c r="A17" s="510">
        <v>8</v>
      </c>
      <c r="B17" s="511"/>
      <c r="C17" s="1022"/>
      <c r="D17" s="479"/>
      <c r="E17" s="512"/>
      <c r="F17" s="924"/>
      <c r="G17" s="490"/>
      <c r="H17" s="490"/>
      <c r="I17" s="490"/>
      <c r="J17" s="491"/>
      <c r="K17" s="492"/>
      <c r="L17" s="492"/>
      <c r="M17" s="504"/>
      <c r="N17" s="930" t="e">
        <f>+L17/Balancesheet!$G$59</f>
        <v>#DIV/0!</v>
      </c>
      <c r="O17" s="913">
        <f t="shared" si="0"/>
        <v>0</v>
      </c>
      <c r="P17" s="932" t="e">
        <f>+O17/Balancesheet!$G$59</f>
        <v>#DIV/0!</v>
      </c>
    </row>
    <row r="18" spans="1:16">
      <c r="A18" s="510">
        <v>9</v>
      </c>
      <c r="B18" s="511"/>
      <c r="C18" s="1022"/>
      <c r="D18" s="479"/>
      <c r="E18" s="512"/>
      <c r="F18" s="924"/>
      <c r="G18" s="490"/>
      <c r="H18" s="490"/>
      <c r="I18" s="490"/>
      <c r="J18" s="491"/>
      <c r="K18" s="492"/>
      <c r="L18" s="492"/>
      <c r="M18" s="504"/>
      <c r="N18" s="930" t="e">
        <f>+L18/Balancesheet!$G$59</f>
        <v>#DIV/0!</v>
      </c>
      <c r="O18" s="913">
        <f t="shared" si="0"/>
        <v>0</v>
      </c>
      <c r="P18" s="932" t="e">
        <f>+O18/Balancesheet!$G$59</f>
        <v>#DIV/0!</v>
      </c>
    </row>
    <row r="19" spans="1:16">
      <c r="A19" s="510">
        <v>10</v>
      </c>
      <c r="B19" s="511"/>
      <c r="C19" s="1022"/>
      <c r="D19" s="479"/>
      <c r="E19" s="512"/>
      <c r="F19" s="924"/>
      <c r="G19" s="490"/>
      <c r="H19" s="490"/>
      <c r="I19" s="490"/>
      <c r="J19" s="491"/>
      <c r="K19" s="492"/>
      <c r="L19" s="492"/>
      <c r="M19" s="504"/>
      <c r="N19" s="930" t="e">
        <f>+L19/Balancesheet!$G$59</f>
        <v>#DIV/0!</v>
      </c>
      <c r="O19" s="913">
        <f t="shared" si="0"/>
        <v>0</v>
      </c>
      <c r="P19" s="932" t="e">
        <f>+O19/Balancesheet!$G$59</f>
        <v>#DIV/0!</v>
      </c>
    </row>
    <row r="20" spans="1:16">
      <c r="A20" s="510">
        <v>11</v>
      </c>
      <c r="B20" s="511"/>
      <c r="C20" s="1022"/>
      <c r="D20" s="479"/>
      <c r="E20" s="512"/>
      <c r="F20" s="924"/>
      <c r="G20" s="490"/>
      <c r="H20" s="490"/>
      <c r="I20" s="490"/>
      <c r="J20" s="491"/>
      <c r="K20" s="492"/>
      <c r="L20" s="492"/>
      <c r="M20" s="504"/>
      <c r="N20" s="930" t="e">
        <f>+L20/Balancesheet!$G$59</f>
        <v>#DIV/0!</v>
      </c>
      <c r="O20" s="913">
        <f t="shared" si="0"/>
        <v>0</v>
      </c>
      <c r="P20" s="932" t="e">
        <f>+O20/Balancesheet!$G$59</f>
        <v>#DIV/0!</v>
      </c>
    </row>
    <row r="21" spans="1:16">
      <c r="A21" s="510">
        <v>12</v>
      </c>
      <c r="B21" s="511"/>
      <c r="C21" s="1022"/>
      <c r="D21" s="479"/>
      <c r="E21" s="512"/>
      <c r="F21" s="924"/>
      <c r="G21" s="490"/>
      <c r="H21" s="490"/>
      <c r="I21" s="490"/>
      <c r="J21" s="491"/>
      <c r="K21" s="492"/>
      <c r="L21" s="492"/>
      <c r="M21" s="504"/>
      <c r="N21" s="930" t="e">
        <f>+L21/Balancesheet!$G$59</f>
        <v>#DIV/0!</v>
      </c>
      <c r="O21" s="913">
        <f t="shared" si="0"/>
        <v>0</v>
      </c>
      <c r="P21" s="932" t="e">
        <f>+O21/Balancesheet!$G$59</f>
        <v>#DIV/0!</v>
      </c>
    </row>
    <row r="22" spans="1:16">
      <c r="A22" s="510">
        <v>13</v>
      </c>
      <c r="B22" s="511"/>
      <c r="C22" s="1022"/>
      <c r="D22" s="479"/>
      <c r="E22" s="512"/>
      <c r="F22" s="924"/>
      <c r="G22" s="490"/>
      <c r="H22" s="490"/>
      <c r="I22" s="490"/>
      <c r="J22" s="491"/>
      <c r="K22" s="492"/>
      <c r="L22" s="492"/>
      <c r="M22" s="504"/>
      <c r="N22" s="930" t="e">
        <f>+L22/Balancesheet!$G$59</f>
        <v>#DIV/0!</v>
      </c>
      <c r="O22" s="913">
        <f t="shared" si="0"/>
        <v>0</v>
      </c>
      <c r="P22" s="932" t="e">
        <f>+O22/Balancesheet!$G$59</f>
        <v>#DIV/0!</v>
      </c>
    </row>
    <row r="23" spans="1:16">
      <c r="A23" s="510">
        <v>14</v>
      </c>
      <c r="B23" s="511"/>
      <c r="C23" s="1022"/>
      <c r="D23" s="479"/>
      <c r="E23" s="512"/>
      <c r="F23" s="924"/>
      <c r="G23" s="490"/>
      <c r="H23" s="490"/>
      <c r="I23" s="490"/>
      <c r="J23" s="491"/>
      <c r="K23" s="492"/>
      <c r="L23" s="492"/>
      <c r="M23" s="504"/>
      <c r="N23" s="930" t="e">
        <f>+L23/Balancesheet!$G$59</f>
        <v>#DIV/0!</v>
      </c>
      <c r="O23" s="913">
        <f t="shared" si="0"/>
        <v>0</v>
      </c>
      <c r="P23" s="932" t="e">
        <f>+O23/Balancesheet!$G$59</f>
        <v>#DIV/0!</v>
      </c>
    </row>
    <row r="24" spans="1:16">
      <c r="A24" s="510">
        <v>15</v>
      </c>
      <c r="B24" s="511"/>
      <c r="C24" s="1022"/>
      <c r="D24" s="479"/>
      <c r="E24" s="512"/>
      <c r="F24" s="924"/>
      <c r="G24" s="490"/>
      <c r="H24" s="490"/>
      <c r="I24" s="490"/>
      <c r="J24" s="491"/>
      <c r="K24" s="492"/>
      <c r="L24" s="492"/>
      <c r="M24" s="504"/>
      <c r="N24" s="930" t="e">
        <f>+L24/Balancesheet!$G$59</f>
        <v>#DIV/0!</v>
      </c>
      <c r="O24" s="913">
        <f t="shared" si="0"/>
        <v>0</v>
      </c>
      <c r="P24" s="932" t="e">
        <f>+O24/Balancesheet!$G$59</f>
        <v>#DIV/0!</v>
      </c>
    </row>
    <row r="25" spans="1:16">
      <c r="A25" s="510">
        <v>16</v>
      </c>
      <c r="B25" s="511"/>
      <c r="C25" s="1022"/>
      <c r="D25" s="479"/>
      <c r="E25" s="512"/>
      <c r="F25" s="924"/>
      <c r="G25" s="490"/>
      <c r="H25" s="490"/>
      <c r="I25" s="490"/>
      <c r="J25" s="491"/>
      <c r="K25" s="492"/>
      <c r="L25" s="492"/>
      <c r="M25" s="504"/>
      <c r="N25" s="930" t="e">
        <f>+L25/Balancesheet!$G$59</f>
        <v>#DIV/0!</v>
      </c>
      <c r="O25" s="913">
        <f t="shared" si="0"/>
        <v>0</v>
      </c>
      <c r="P25" s="932" t="e">
        <f>+O25/Balancesheet!$G$59</f>
        <v>#DIV/0!</v>
      </c>
    </row>
    <row r="26" spans="1:16">
      <c r="A26" s="510">
        <v>17</v>
      </c>
      <c r="B26" s="511"/>
      <c r="C26" s="1022"/>
      <c r="D26" s="479"/>
      <c r="E26" s="512"/>
      <c r="F26" s="924"/>
      <c r="G26" s="490"/>
      <c r="H26" s="490"/>
      <c r="I26" s="490"/>
      <c r="J26" s="491"/>
      <c r="K26" s="492"/>
      <c r="L26" s="492"/>
      <c r="M26" s="504"/>
      <c r="N26" s="930" t="e">
        <f>+L26/Balancesheet!$G$59</f>
        <v>#DIV/0!</v>
      </c>
      <c r="O26" s="913">
        <f t="shared" si="0"/>
        <v>0</v>
      </c>
      <c r="P26" s="932" t="e">
        <f>+O26/Balancesheet!$G$59</f>
        <v>#DIV/0!</v>
      </c>
    </row>
    <row r="27" spans="1:16">
      <c r="A27" s="510">
        <v>18</v>
      </c>
      <c r="B27" s="511"/>
      <c r="C27" s="1022"/>
      <c r="D27" s="479"/>
      <c r="E27" s="512"/>
      <c r="F27" s="924"/>
      <c r="G27" s="490"/>
      <c r="H27" s="490"/>
      <c r="I27" s="490"/>
      <c r="J27" s="491"/>
      <c r="K27" s="492"/>
      <c r="L27" s="492"/>
      <c r="M27" s="504"/>
      <c r="N27" s="930" t="e">
        <f>+L27/Balancesheet!$G$59</f>
        <v>#DIV/0!</v>
      </c>
      <c r="O27" s="913">
        <f t="shared" si="0"/>
        <v>0</v>
      </c>
      <c r="P27" s="932" t="e">
        <f>+O27/Balancesheet!$G$59</f>
        <v>#DIV/0!</v>
      </c>
    </row>
    <row r="28" spans="1:16">
      <c r="A28" s="510">
        <v>19</v>
      </c>
      <c r="B28" s="511"/>
      <c r="C28" s="1022"/>
      <c r="D28" s="479"/>
      <c r="E28" s="512"/>
      <c r="F28" s="924"/>
      <c r="G28" s="490"/>
      <c r="H28" s="490"/>
      <c r="I28" s="490"/>
      <c r="J28" s="491"/>
      <c r="K28" s="492"/>
      <c r="L28" s="492"/>
      <c r="M28" s="504"/>
      <c r="N28" s="930" t="e">
        <f>+L28/Balancesheet!$G$59</f>
        <v>#DIV/0!</v>
      </c>
      <c r="O28" s="913">
        <f t="shared" si="0"/>
        <v>0</v>
      </c>
      <c r="P28" s="932" t="e">
        <f>+O28/Balancesheet!$G$59</f>
        <v>#DIV/0!</v>
      </c>
    </row>
    <row r="29" spans="1:16">
      <c r="A29" s="513">
        <v>20</v>
      </c>
      <c r="B29" s="511"/>
      <c r="C29" s="1022"/>
      <c r="D29" s="479"/>
      <c r="E29" s="512"/>
      <c r="F29" s="924"/>
      <c r="G29" s="490"/>
      <c r="H29" s="490"/>
      <c r="I29" s="490"/>
      <c r="J29" s="491"/>
      <c r="K29" s="492"/>
      <c r="L29" s="492"/>
      <c r="M29" s="504"/>
      <c r="N29" s="930" t="e">
        <f>+L29/Balancesheet!$G$59</f>
        <v>#DIV/0!</v>
      </c>
      <c r="O29" s="913">
        <f t="shared" si="0"/>
        <v>0</v>
      </c>
      <c r="P29" s="932" t="e">
        <f>+O29/Balancesheet!$G$59</f>
        <v>#DIV/0!</v>
      </c>
    </row>
    <row r="30" spans="1:16">
      <c r="A30" s="510">
        <v>21</v>
      </c>
      <c r="B30" s="511"/>
      <c r="C30" s="1022"/>
      <c r="D30" s="479"/>
      <c r="E30" s="512"/>
      <c r="F30" s="924"/>
      <c r="G30" s="490"/>
      <c r="H30" s="490"/>
      <c r="I30" s="490"/>
      <c r="J30" s="491"/>
      <c r="K30" s="492"/>
      <c r="L30" s="492"/>
      <c r="M30" s="504"/>
      <c r="N30" s="930" t="e">
        <f>+L30/Balancesheet!$G$59</f>
        <v>#DIV/0!</v>
      </c>
      <c r="O30" s="913">
        <f t="shared" si="0"/>
        <v>0</v>
      </c>
      <c r="P30" s="932" t="e">
        <f>+O30/Balancesheet!$G$59</f>
        <v>#DIV/0!</v>
      </c>
    </row>
    <row r="31" spans="1:16">
      <c r="A31" s="513">
        <v>22</v>
      </c>
      <c r="B31" s="511"/>
      <c r="C31" s="1022"/>
      <c r="D31" s="479"/>
      <c r="E31" s="512"/>
      <c r="F31" s="924"/>
      <c r="G31" s="490"/>
      <c r="H31" s="490"/>
      <c r="I31" s="490"/>
      <c r="J31" s="491"/>
      <c r="K31" s="492"/>
      <c r="L31" s="492"/>
      <c r="M31" s="504"/>
      <c r="N31" s="930" t="e">
        <f>+L31/Balancesheet!$G$59</f>
        <v>#DIV/0!</v>
      </c>
      <c r="O31" s="913">
        <f t="shared" si="0"/>
        <v>0</v>
      </c>
      <c r="P31" s="932" t="e">
        <f>+O31/Balancesheet!$G$59</f>
        <v>#DIV/0!</v>
      </c>
    </row>
    <row r="32" spans="1:16">
      <c r="A32" s="510">
        <v>23</v>
      </c>
      <c r="B32" s="511"/>
      <c r="C32" s="1022"/>
      <c r="D32" s="479"/>
      <c r="E32" s="512"/>
      <c r="F32" s="924"/>
      <c r="G32" s="490"/>
      <c r="H32" s="490"/>
      <c r="I32" s="490"/>
      <c r="J32" s="491"/>
      <c r="K32" s="492"/>
      <c r="L32" s="492"/>
      <c r="M32" s="504"/>
      <c r="N32" s="930" t="e">
        <f>+L32/Balancesheet!$G$59</f>
        <v>#DIV/0!</v>
      </c>
      <c r="O32" s="913">
        <f t="shared" si="0"/>
        <v>0</v>
      </c>
      <c r="P32" s="932" t="e">
        <f>+O32/Balancesheet!$G$59</f>
        <v>#DIV/0!</v>
      </c>
    </row>
    <row r="33" spans="1:16">
      <c r="A33" s="513">
        <v>24</v>
      </c>
      <c r="B33" s="511"/>
      <c r="C33" s="1022"/>
      <c r="D33" s="479"/>
      <c r="E33" s="512"/>
      <c r="F33" s="924"/>
      <c r="G33" s="490"/>
      <c r="H33" s="490"/>
      <c r="I33" s="490"/>
      <c r="J33" s="491"/>
      <c r="K33" s="492"/>
      <c r="L33" s="492"/>
      <c r="M33" s="504"/>
      <c r="N33" s="930" t="e">
        <f>+L33/Balancesheet!$G$59</f>
        <v>#DIV/0!</v>
      </c>
      <c r="O33" s="913">
        <f t="shared" si="0"/>
        <v>0</v>
      </c>
      <c r="P33" s="932" t="e">
        <f>+O33/Balancesheet!$G$59</f>
        <v>#DIV/0!</v>
      </c>
    </row>
    <row r="34" spans="1:16">
      <c r="A34" s="510">
        <v>25</v>
      </c>
      <c r="B34" s="511"/>
      <c r="C34" s="1022"/>
      <c r="D34" s="479"/>
      <c r="E34" s="512"/>
      <c r="F34" s="924"/>
      <c r="G34" s="490"/>
      <c r="H34" s="490"/>
      <c r="I34" s="490"/>
      <c r="J34" s="491"/>
      <c r="K34" s="492"/>
      <c r="L34" s="492"/>
      <c r="M34" s="504"/>
      <c r="N34" s="930" t="e">
        <f>+L34/Balancesheet!$G$59</f>
        <v>#DIV/0!</v>
      </c>
      <c r="O34" s="913">
        <f t="shared" si="0"/>
        <v>0</v>
      </c>
      <c r="P34" s="932" t="e">
        <f>+O34/Balancesheet!$G$59</f>
        <v>#DIV/0!</v>
      </c>
    </row>
    <row r="35" spans="1:16">
      <c r="A35" s="513">
        <v>26</v>
      </c>
      <c r="B35" s="511"/>
      <c r="C35" s="1022"/>
      <c r="D35" s="479"/>
      <c r="E35" s="512"/>
      <c r="F35" s="924"/>
      <c r="G35" s="490"/>
      <c r="H35" s="490"/>
      <c r="I35" s="490"/>
      <c r="J35" s="491"/>
      <c r="K35" s="492"/>
      <c r="L35" s="492"/>
      <c r="M35" s="504"/>
      <c r="N35" s="930" t="e">
        <f>+L35/Balancesheet!$G$59</f>
        <v>#DIV/0!</v>
      </c>
      <c r="O35" s="913">
        <f t="shared" si="0"/>
        <v>0</v>
      </c>
      <c r="P35" s="932" t="e">
        <f>+O35/Balancesheet!$G$59</f>
        <v>#DIV/0!</v>
      </c>
    </row>
    <row r="36" spans="1:16">
      <c r="A36" s="510">
        <v>27</v>
      </c>
      <c r="B36" s="511"/>
      <c r="C36" s="1022"/>
      <c r="D36" s="479"/>
      <c r="E36" s="512"/>
      <c r="F36" s="924"/>
      <c r="G36" s="490"/>
      <c r="H36" s="490"/>
      <c r="I36" s="490"/>
      <c r="J36" s="491"/>
      <c r="K36" s="492"/>
      <c r="L36" s="492"/>
      <c r="M36" s="504"/>
      <c r="N36" s="930" t="e">
        <f>+L36/Balancesheet!$G$59</f>
        <v>#DIV/0!</v>
      </c>
      <c r="O36" s="913">
        <f t="shared" si="0"/>
        <v>0</v>
      </c>
      <c r="P36" s="932" t="e">
        <f>+O36/Balancesheet!$G$59</f>
        <v>#DIV/0!</v>
      </c>
    </row>
    <row r="37" spans="1:16">
      <c r="A37" s="513">
        <v>28</v>
      </c>
      <c r="B37" s="511"/>
      <c r="C37" s="1022"/>
      <c r="D37" s="479"/>
      <c r="E37" s="512"/>
      <c r="F37" s="924"/>
      <c r="G37" s="490"/>
      <c r="H37" s="490"/>
      <c r="I37" s="490"/>
      <c r="J37" s="491"/>
      <c r="K37" s="492"/>
      <c r="L37" s="492"/>
      <c r="M37" s="504"/>
      <c r="N37" s="930" t="e">
        <f>+L37/Balancesheet!$G$59</f>
        <v>#DIV/0!</v>
      </c>
      <c r="O37" s="913">
        <f t="shared" si="0"/>
        <v>0</v>
      </c>
      <c r="P37" s="932" t="e">
        <f>+O37/Balancesheet!$G$59</f>
        <v>#DIV/0!</v>
      </c>
    </row>
    <row r="38" spans="1:16">
      <c r="A38" s="510">
        <v>29</v>
      </c>
      <c r="B38" s="511"/>
      <c r="C38" s="1022"/>
      <c r="D38" s="479"/>
      <c r="E38" s="512"/>
      <c r="F38" s="924"/>
      <c r="G38" s="490"/>
      <c r="H38" s="490"/>
      <c r="I38" s="490"/>
      <c r="J38" s="491"/>
      <c r="K38" s="492"/>
      <c r="L38" s="492"/>
      <c r="M38" s="504"/>
      <c r="N38" s="930" t="e">
        <f>+L38/Balancesheet!$G$59</f>
        <v>#DIV/0!</v>
      </c>
      <c r="O38" s="913">
        <f t="shared" si="0"/>
        <v>0</v>
      </c>
      <c r="P38" s="932" t="e">
        <f>+O38/Balancesheet!$G$59</f>
        <v>#DIV/0!</v>
      </c>
    </row>
    <row r="39" spans="1:16">
      <c r="A39" s="513">
        <v>30</v>
      </c>
      <c r="B39" s="511"/>
      <c r="C39" s="1022"/>
      <c r="D39" s="479"/>
      <c r="E39" s="512"/>
      <c r="F39" s="924"/>
      <c r="G39" s="490"/>
      <c r="H39" s="490"/>
      <c r="I39" s="490"/>
      <c r="J39" s="491"/>
      <c r="K39" s="492"/>
      <c r="L39" s="492"/>
      <c r="M39" s="504"/>
      <c r="N39" s="930" t="e">
        <f>+L39/Balancesheet!$G$59</f>
        <v>#DIV/0!</v>
      </c>
      <c r="O39" s="913">
        <f t="shared" si="0"/>
        <v>0</v>
      </c>
      <c r="P39" s="932" t="e">
        <f>+O39/Balancesheet!$G$59</f>
        <v>#DIV/0!</v>
      </c>
    </row>
    <row r="40" spans="1:16">
      <c r="A40" s="510">
        <v>31</v>
      </c>
      <c r="B40" s="511"/>
      <c r="C40" s="1022"/>
      <c r="D40" s="479"/>
      <c r="E40" s="512"/>
      <c r="F40" s="924"/>
      <c r="G40" s="490"/>
      <c r="H40" s="490"/>
      <c r="I40" s="490"/>
      <c r="J40" s="491"/>
      <c r="K40" s="492"/>
      <c r="L40" s="492"/>
      <c r="M40" s="504"/>
      <c r="N40" s="930" t="e">
        <f>+L40/Balancesheet!$G$59</f>
        <v>#DIV/0!</v>
      </c>
      <c r="O40" s="913">
        <f t="shared" si="0"/>
        <v>0</v>
      </c>
      <c r="P40" s="932" t="e">
        <f>+O40/Balancesheet!$G$59</f>
        <v>#DIV/0!</v>
      </c>
    </row>
    <row r="41" spans="1:16">
      <c r="A41" s="513">
        <v>32</v>
      </c>
      <c r="B41" s="511"/>
      <c r="C41" s="1022"/>
      <c r="D41" s="479"/>
      <c r="E41" s="512"/>
      <c r="F41" s="924"/>
      <c r="G41" s="490"/>
      <c r="H41" s="490"/>
      <c r="I41" s="490"/>
      <c r="J41" s="491"/>
      <c r="K41" s="492"/>
      <c r="L41" s="492"/>
      <c r="M41" s="504"/>
      <c r="N41" s="930" t="e">
        <f>+L41/Balancesheet!$G$59</f>
        <v>#DIV/0!</v>
      </c>
      <c r="O41" s="913">
        <f t="shared" si="0"/>
        <v>0</v>
      </c>
      <c r="P41" s="932" t="e">
        <f>+O41/Balancesheet!$G$59</f>
        <v>#DIV/0!</v>
      </c>
    </row>
    <row r="42" spans="1:16">
      <c r="A42" s="510">
        <v>33</v>
      </c>
      <c r="B42" s="511"/>
      <c r="C42" s="1022"/>
      <c r="D42" s="479"/>
      <c r="E42" s="512"/>
      <c r="F42" s="924"/>
      <c r="G42" s="490"/>
      <c r="H42" s="490"/>
      <c r="I42" s="490"/>
      <c r="J42" s="491"/>
      <c r="K42" s="492"/>
      <c r="L42" s="492"/>
      <c r="M42" s="504"/>
      <c r="N42" s="930" t="e">
        <f>+L42/Balancesheet!$G$59</f>
        <v>#DIV/0!</v>
      </c>
      <c r="O42" s="913">
        <f t="shared" si="0"/>
        <v>0</v>
      </c>
      <c r="P42" s="932" t="e">
        <f>+O42/Balancesheet!$G$59</f>
        <v>#DIV/0!</v>
      </c>
    </row>
    <row r="43" spans="1:16">
      <c r="A43" s="513">
        <v>34</v>
      </c>
      <c r="B43" s="511"/>
      <c r="C43" s="1022"/>
      <c r="D43" s="479"/>
      <c r="E43" s="512"/>
      <c r="F43" s="924"/>
      <c r="G43" s="490"/>
      <c r="H43" s="490"/>
      <c r="I43" s="490"/>
      <c r="J43" s="491"/>
      <c r="K43" s="492"/>
      <c r="L43" s="492"/>
      <c r="M43" s="504"/>
      <c r="N43" s="930" t="e">
        <f>+L43/Balancesheet!$G$59</f>
        <v>#DIV/0!</v>
      </c>
      <c r="O43" s="913">
        <f t="shared" si="0"/>
        <v>0</v>
      </c>
      <c r="P43" s="932" t="e">
        <f>+O43/Balancesheet!$G$59</f>
        <v>#DIV/0!</v>
      </c>
    </row>
    <row r="44" spans="1:16">
      <c r="A44" s="510">
        <v>35</v>
      </c>
      <c r="B44" s="511"/>
      <c r="C44" s="1022"/>
      <c r="D44" s="479"/>
      <c r="E44" s="512"/>
      <c r="F44" s="924"/>
      <c r="G44" s="490"/>
      <c r="H44" s="490"/>
      <c r="I44" s="490"/>
      <c r="J44" s="491"/>
      <c r="K44" s="492"/>
      <c r="L44" s="492"/>
      <c r="M44" s="504"/>
      <c r="N44" s="930" t="e">
        <f>+L44/Balancesheet!$G$59</f>
        <v>#DIV/0!</v>
      </c>
      <c r="O44" s="913">
        <f t="shared" si="0"/>
        <v>0</v>
      </c>
      <c r="P44" s="932" t="e">
        <f>+O44/Balancesheet!$G$59</f>
        <v>#DIV/0!</v>
      </c>
    </row>
    <row r="45" spans="1:16">
      <c r="A45" s="513">
        <v>36</v>
      </c>
      <c r="B45" s="511"/>
      <c r="C45" s="1022"/>
      <c r="D45" s="479"/>
      <c r="E45" s="512"/>
      <c r="F45" s="924"/>
      <c r="G45" s="490"/>
      <c r="H45" s="490"/>
      <c r="I45" s="490"/>
      <c r="J45" s="491"/>
      <c r="K45" s="492"/>
      <c r="L45" s="492"/>
      <c r="M45" s="504"/>
      <c r="N45" s="930" t="e">
        <f>+L45/Balancesheet!$G$59</f>
        <v>#DIV/0!</v>
      </c>
      <c r="O45" s="913">
        <f t="shared" si="0"/>
        <v>0</v>
      </c>
      <c r="P45" s="932" t="e">
        <f>+O45/Balancesheet!$G$59</f>
        <v>#DIV/0!</v>
      </c>
    </row>
    <row r="46" spans="1:16">
      <c r="A46" s="510">
        <v>37</v>
      </c>
      <c r="B46" s="511"/>
      <c r="C46" s="1022"/>
      <c r="D46" s="479"/>
      <c r="E46" s="512"/>
      <c r="F46" s="924"/>
      <c r="G46" s="490"/>
      <c r="H46" s="490"/>
      <c r="I46" s="490"/>
      <c r="J46" s="491"/>
      <c r="K46" s="492"/>
      <c r="L46" s="492"/>
      <c r="M46" s="504"/>
      <c r="N46" s="930" t="e">
        <f>+L46/Balancesheet!$G$59</f>
        <v>#DIV/0!</v>
      </c>
      <c r="O46" s="913">
        <f t="shared" si="0"/>
        <v>0</v>
      </c>
      <c r="P46" s="932" t="e">
        <f>+O46/Balancesheet!$G$59</f>
        <v>#DIV/0!</v>
      </c>
    </row>
    <row r="47" spans="1:16">
      <c r="A47" s="513">
        <v>38</v>
      </c>
      <c r="B47" s="511"/>
      <c r="C47" s="1022"/>
      <c r="D47" s="479"/>
      <c r="E47" s="512"/>
      <c r="F47" s="924"/>
      <c r="G47" s="490"/>
      <c r="H47" s="490"/>
      <c r="I47" s="490"/>
      <c r="J47" s="491"/>
      <c r="K47" s="492"/>
      <c r="L47" s="492"/>
      <c r="M47" s="504"/>
      <c r="N47" s="930" t="e">
        <f>+L47/Balancesheet!$G$59</f>
        <v>#DIV/0!</v>
      </c>
      <c r="O47" s="913">
        <f t="shared" si="0"/>
        <v>0</v>
      </c>
      <c r="P47" s="932" t="e">
        <f>+O47/Balancesheet!$G$59</f>
        <v>#DIV/0!</v>
      </c>
    </row>
    <row r="48" spans="1:16">
      <c r="A48" s="510">
        <v>39</v>
      </c>
      <c r="B48" s="511"/>
      <c r="C48" s="1022"/>
      <c r="D48" s="479"/>
      <c r="E48" s="512"/>
      <c r="F48" s="924"/>
      <c r="G48" s="490"/>
      <c r="H48" s="490"/>
      <c r="I48" s="490"/>
      <c r="J48" s="491"/>
      <c r="K48" s="492"/>
      <c r="L48" s="492"/>
      <c r="M48" s="504"/>
      <c r="N48" s="930" t="e">
        <f>+L48/Balancesheet!$G$59</f>
        <v>#DIV/0!</v>
      </c>
      <c r="O48" s="913">
        <f t="shared" si="0"/>
        <v>0</v>
      </c>
      <c r="P48" s="932" t="e">
        <f>+O48/Balancesheet!$G$59</f>
        <v>#DIV/0!</v>
      </c>
    </row>
    <row r="49" spans="1:16" ht="13.5" thickBot="1">
      <c r="A49" s="513">
        <v>40</v>
      </c>
      <c r="B49" s="514"/>
      <c r="C49" s="1023"/>
      <c r="D49" s="479"/>
      <c r="E49" s="515"/>
      <c r="F49" s="924"/>
      <c r="G49" s="497"/>
      <c r="H49" s="497"/>
      <c r="I49" s="497"/>
      <c r="J49" s="491"/>
      <c r="K49" s="498"/>
      <c r="L49" s="498"/>
      <c r="M49" s="504"/>
      <c r="N49" s="930" t="e">
        <f>+L49/Balancesheet!$G$59</f>
        <v>#DIV/0!</v>
      </c>
      <c r="O49" s="913">
        <f t="shared" si="0"/>
        <v>0</v>
      </c>
      <c r="P49" s="932" t="e">
        <f>+O49/Balancesheet!$G$59</f>
        <v>#DIV/0!</v>
      </c>
    </row>
    <row r="50" spans="1:16" ht="15.75" customHeight="1" thickBot="1">
      <c r="A50" s="1599" t="s">
        <v>670</v>
      </c>
      <c r="B50" s="1600"/>
      <c r="C50" s="1600"/>
      <c r="D50" s="1601"/>
      <c r="E50" s="499">
        <f>SUM(E10:E49)</f>
        <v>0</v>
      </c>
      <c r="F50" s="906"/>
      <c r="G50" s="1573"/>
      <c r="H50" s="1573"/>
      <c r="I50" s="1573"/>
      <c r="J50" s="1575"/>
      <c r="K50" s="500">
        <f>SUM(K10:K49)</f>
        <v>0</v>
      </c>
      <c r="L50" s="500">
        <f>SUM(L10:L49)</f>
        <v>0</v>
      </c>
      <c r="M50" s="501"/>
      <c r="N50" s="931" t="e">
        <f>SUM(N10:N49)</f>
        <v>#DIV/0!</v>
      </c>
      <c r="O50" s="499"/>
      <c r="P50" s="915"/>
    </row>
    <row r="51" spans="1:16" ht="15" customHeight="1">
      <c r="A51" s="7"/>
      <c r="B51" s="7"/>
      <c r="C51" s="7"/>
      <c r="D51" s="7"/>
      <c r="E51" s="503"/>
      <c r="F51" s="925"/>
      <c r="G51" s="503"/>
      <c r="H51" s="503"/>
      <c r="I51" s="503"/>
      <c r="J51" s="503"/>
      <c r="K51" s="1594" t="s">
        <v>909</v>
      </c>
      <c r="L51" s="1594"/>
      <c r="M51" s="1594"/>
      <c r="N51" s="928" t="e">
        <f>MAX(N10:N49)</f>
        <v>#DIV/0!</v>
      </c>
      <c r="O51" s="911" t="s">
        <v>910</v>
      </c>
      <c r="P51" s="916" t="e">
        <f>MAX(P10:P49)</f>
        <v>#DIV/0!</v>
      </c>
    </row>
    <row r="52" spans="1:16">
      <c r="A52" s="7"/>
      <c r="B52" s="7"/>
      <c r="C52" s="7"/>
      <c r="D52" s="7"/>
      <c r="E52" s="7"/>
      <c r="F52" s="29"/>
      <c r="G52" s="7"/>
      <c r="H52" s="7"/>
      <c r="I52" s="7"/>
      <c r="J52" s="7"/>
      <c r="K52" s="7"/>
      <c r="L52" s="7"/>
      <c r="M52" s="7"/>
      <c r="N52" s="516"/>
    </row>
    <row r="53" spans="1:16">
      <c r="A53" s="7"/>
      <c r="B53" s="1434" t="s">
        <v>647</v>
      </c>
      <c r="C53" s="1434"/>
      <c r="D53" s="1434"/>
      <c r="E53" s="1434"/>
      <c r="F53" s="1434"/>
      <c r="G53" s="1434"/>
      <c r="H53" s="1434"/>
      <c r="I53" s="1434"/>
      <c r="J53" s="1434"/>
      <c r="K53" s="1434"/>
      <c r="L53" s="1434"/>
      <c r="M53" s="1434"/>
      <c r="N53" s="1434"/>
      <c r="O53" s="1434"/>
      <c r="P53" s="1434"/>
    </row>
    <row r="54" spans="1:16" ht="15">
      <c r="A54" s="7"/>
      <c r="B54" s="1553" t="s">
        <v>911</v>
      </c>
      <c r="C54" s="1423"/>
      <c r="D54" s="1423"/>
      <c r="E54" s="1423"/>
      <c r="F54" s="1423"/>
      <c r="G54" s="1423"/>
      <c r="H54" s="1423"/>
      <c r="I54" s="1423"/>
      <c r="J54" s="1423"/>
      <c r="K54" s="1423"/>
      <c r="L54" s="1423"/>
      <c r="M54" s="1423"/>
      <c r="N54" s="1423"/>
      <c r="O54" s="1423"/>
      <c r="P54" s="1423"/>
    </row>
    <row r="55" spans="1:16" ht="15">
      <c r="A55" s="7"/>
      <c r="B55" s="1553" t="s">
        <v>880</v>
      </c>
      <c r="C55" s="1423"/>
      <c r="D55" s="1423"/>
      <c r="E55" s="1423"/>
      <c r="F55" s="1423"/>
      <c r="G55" s="1423"/>
      <c r="H55" s="1423"/>
      <c r="I55" s="1423"/>
      <c r="J55" s="1423"/>
      <c r="K55" s="1423"/>
      <c r="L55" s="1423"/>
      <c r="M55" s="1423"/>
      <c r="N55" s="1423"/>
      <c r="O55" s="1423"/>
      <c r="P55" s="1423"/>
    </row>
    <row r="56" spans="1:16" ht="15">
      <c r="A56" s="7"/>
      <c r="B56" s="1538" t="s">
        <v>912</v>
      </c>
      <c r="C56" s="1423"/>
      <c r="D56" s="1423"/>
      <c r="E56" s="1423"/>
      <c r="F56" s="1423"/>
      <c r="G56" s="1423"/>
      <c r="H56" s="1423"/>
      <c r="I56" s="1423"/>
      <c r="J56" s="1423"/>
      <c r="K56" s="1423"/>
      <c r="L56" s="1423"/>
      <c r="M56" s="1423"/>
      <c r="N56" s="1423"/>
      <c r="O56" s="1423"/>
      <c r="P56" s="1423"/>
    </row>
    <row r="57" spans="1:16" ht="15">
      <c r="A57" s="7"/>
      <c r="B57" s="1538" t="s">
        <v>913</v>
      </c>
      <c r="C57" s="1423"/>
      <c r="D57" s="1423"/>
      <c r="E57" s="1423"/>
      <c r="F57" s="1423"/>
      <c r="G57" s="1423"/>
      <c r="H57" s="1423"/>
      <c r="I57" s="1423"/>
      <c r="J57" s="1423"/>
      <c r="K57" s="1423"/>
      <c r="L57" s="1423"/>
      <c r="M57" s="1423"/>
      <c r="N57" s="1423"/>
      <c r="O57" s="1423"/>
      <c r="P57" s="1423"/>
    </row>
    <row r="58" spans="1:16" ht="15">
      <c r="A58" s="7"/>
      <c r="B58" s="1538"/>
      <c r="C58" s="1423"/>
      <c r="D58" s="1423"/>
      <c r="E58" s="1423"/>
      <c r="F58" s="1423"/>
      <c r="G58" s="1423"/>
      <c r="H58" s="1423"/>
      <c r="I58" s="1423"/>
      <c r="J58" s="1423"/>
      <c r="K58" s="1423"/>
      <c r="L58" s="1423"/>
      <c r="M58" s="1423"/>
      <c r="N58" s="1423"/>
      <c r="O58" s="1423"/>
      <c r="P58" s="1423"/>
    </row>
    <row r="59" spans="1:16">
      <c r="A59" s="7"/>
      <c r="B59" s="966"/>
      <c r="C59" s="966"/>
      <c r="D59" s="966"/>
      <c r="E59" s="966"/>
      <c r="F59" s="966"/>
      <c r="G59" s="966"/>
      <c r="H59" s="966"/>
      <c r="I59" s="966"/>
      <c r="J59" s="966"/>
      <c r="K59" s="966"/>
      <c r="L59" s="966"/>
      <c r="M59" s="966"/>
      <c r="N59" s="966"/>
      <c r="O59" s="966"/>
      <c r="P59" s="966"/>
    </row>
    <row r="60" spans="1:16">
      <c r="A60" s="7"/>
      <c r="B60" s="966"/>
      <c r="C60" s="966"/>
      <c r="D60" s="966"/>
      <c r="E60" s="966"/>
      <c r="F60" s="966"/>
      <c r="G60" s="966"/>
      <c r="H60" s="966"/>
      <c r="I60" s="966"/>
      <c r="J60" s="966"/>
      <c r="K60" s="966"/>
      <c r="L60" s="966"/>
      <c r="M60" s="966"/>
      <c r="N60" s="966"/>
      <c r="O60" s="966"/>
      <c r="P60" s="966"/>
    </row>
    <row r="61" spans="1:16">
      <c r="A61" s="1419" t="s">
        <v>111</v>
      </c>
      <c r="B61" s="1419"/>
      <c r="C61" s="1419"/>
      <c r="D61" s="1419"/>
      <c r="E61" s="1419"/>
      <c r="F61" s="1419"/>
      <c r="G61" s="1419"/>
      <c r="H61" s="1419"/>
      <c r="I61" s="1419"/>
      <c r="J61" s="1419"/>
      <c r="K61" s="1419"/>
      <c r="L61" s="1419"/>
      <c r="M61" s="1419"/>
      <c r="N61" s="1419"/>
      <c r="O61" s="1419"/>
      <c r="P61" s="1419"/>
    </row>
    <row r="62" spans="1:16">
      <c r="A62" s="1431" t="s">
        <v>112</v>
      </c>
      <c r="B62" s="1431"/>
      <c r="C62" s="1431"/>
      <c r="D62" s="1431"/>
      <c r="E62" s="1431"/>
      <c r="F62" s="1431"/>
      <c r="G62" s="1431"/>
      <c r="H62" s="1431"/>
      <c r="I62" s="1431"/>
      <c r="J62" s="1431"/>
      <c r="K62" s="1431"/>
      <c r="L62" s="1431"/>
      <c r="M62" s="1431"/>
      <c r="N62" s="1431"/>
      <c r="O62" s="1431"/>
      <c r="P62" s="1431"/>
    </row>
    <row r="63" spans="1:16">
      <c r="A63" s="7"/>
      <c r="B63" s="7"/>
      <c r="C63" s="7"/>
      <c r="D63" s="7"/>
      <c r="E63" s="7"/>
      <c r="F63" s="29"/>
      <c r="G63" s="41"/>
      <c r="H63" s="7"/>
      <c r="J63" s="7"/>
      <c r="K63" s="7"/>
      <c r="L63" s="7"/>
      <c r="M63" s="7"/>
      <c r="N63" s="7"/>
    </row>
    <row r="64" spans="1:16">
      <c r="A64" s="7"/>
      <c r="B64" s="7"/>
      <c r="C64" s="7"/>
      <c r="D64" s="7"/>
      <c r="E64" s="7"/>
      <c r="F64" s="29"/>
      <c r="G64" s="41"/>
      <c r="I64" s="40" t="s">
        <v>392</v>
      </c>
      <c r="K64" s="7" t="str">
        <f>+STATISTICS!C112</f>
        <v>/Нэр/</v>
      </c>
      <c r="L64" s="1595"/>
      <c r="M64" s="1596"/>
      <c r="N64" s="7"/>
    </row>
    <row r="65" spans="7:11">
      <c r="G65" s="41"/>
      <c r="I65" s="42"/>
      <c r="K65" s="7"/>
    </row>
    <row r="66" spans="7:11">
      <c r="G66" s="41"/>
      <c r="I66" s="40" t="s">
        <v>115</v>
      </c>
      <c r="K66" s="7" t="str">
        <f>+STATISTICS!C114</f>
        <v>/Нэр/</v>
      </c>
    </row>
  </sheetData>
  <sheetProtection algorithmName="SHA-512" hashValue="qC6wK06QiB+xUtw9wUq+4Gv4Iw24v0TAvADiqP3RC9llqZXUUrtaUG2g2UeVHQwsGUUv+elVmS57Kxzq1HfLVQ==" saltValue="h40hQHZrxd0/3p6zlGbn6w==" spinCount="100000" sheet="1" objects="1" scenarios="1"/>
  <mergeCells count="16">
    <mergeCell ref="A4:P4"/>
    <mergeCell ref="A5:P5"/>
    <mergeCell ref="A6:P6"/>
    <mergeCell ref="K51:M51"/>
    <mergeCell ref="L64:M64"/>
    <mergeCell ref="A8:B8"/>
    <mergeCell ref="A50:D50"/>
    <mergeCell ref="G50:J50"/>
    <mergeCell ref="B53:P53"/>
    <mergeCell ref="B54:P54"/>
    <mergeCell ref="B55:P55"/>
    <mergeCell ref="B56:P56"/>
    <mergeCell ref="B57:P57"/>
    <mergeCell ref="B58:P58"/>
    <mergeCell ref="A61:P61"/>
    <mergeCell ref="A62:P62"/>
  </mergeCells>
  <dataValidations count="7">
    <dataValidation type="date" allowBlank="1" showErrorMessage="1" sqref="G10:I49" xr:uid="{90503491-70C1-43AC-A131-EB0A14DC1EC7}">
      <formula1>1</formula1>
      <formula2>109860</formula2>
    </dataValidation>
    <dataValidation type="list" allowBlank="1" showInputMessage="1" showErrorMessage="1" prompt="Сонгоно уу!" sqref="M10:M49" xr:uid="{86451DDD-0C26-445F-A66F-9108E253BE46}">
      <formula1>"Хэвийн, Хугацаа хэтэрсэн, Хэвийн бус, Эргэлзээтэй, Муу"</formula1>
    </dataValidation>
    <dataValidation type="list" allowBlank="1" showInputMessage="1" showErrorMessage="1" error="Сонгоно уу!" prompt="Сонгоно уу!" sqref="D10:D49" xr:uid="{61182476-38F3-4B55-A534-3359F67EB43C}">
      <formula1>"Эр, Эм"</formula1>
    </dataValidation>
    <dataValidation type="decimal" allowBlank="1" showInputMessage="1" showErrorMessage="1" sqref="K10:L49 E10:E49" xr:uid="{4FFEBB4D-B7E1-4144-A508-2CA1AECA055F}">
      <formula1>0</formula1>
      <formula2>10000000000000000</formula2>
    </dataValidation>
    <dataValidation type="list" allowBlank="1" showInputMessage="1" showErrorMessage="1" prompt="Сонгоно уу_x000a_" sqref="J10:J49" xr:uid="{CA895964-5CA2-475A-A2DC-708B3BC098E4}">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decimal" allowBlank="1" showInputMessage="1" showErrorMessage="1" sqref="O10:O50" xr:uid="{D5265E27-20CC-4951-8BC4-2AFEFCE6BA47}">
      <formula1>0</formula1>
      <formula2>100000000000000</formula2>
    </dataValidation>
    <dataValidation type="textLength" operator="equal" allowBlank="1" showInputMessage="1" showErrorMessage="1" error="2 оронтой тоогоор кодлоно уу!" sqref="C10:C49" xr:uid="{23B55833-7AB2-40E5-9C96-4135C0368DCA}">
      <formula1>2</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Сонгоно уу_x000a_" xr:uid="{C76B64C2-E282-4B65-9DE5-4B0A8C32AF44}">
          <x14:formula1>
            <xm:f>'40 BIG LOAN'!$B$80:$B$101</xm:f>
          </x14:formula1>
          <xm:sqref>F11:F49 F10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08B55-E0AD-41D0-BFD5-0379896DD2A3}">
  <dimension ref="A1:O66"/>
  <sheetViews>
    <sheetView topLeftCell="A26" zoomScale="80" zoomScaleNormal="80" workbookViewId="0">
      <selection activeCell="I9" sqref="I9:I10"/>
    </sheetView>
  </sheetViews>
  <sheetFormatPr defaultRowHeight="15"/>
  <cols>
    <col min="1" max="1" width="3.28515625" bestFit="1" customWidth="1"/>
    <col min="2" max="2" width="19.42578125" style="371" customWidth="1"/>
    <col min="3" max="3" width="20.42578125" customWidth="1"/>
    <col min="4" max="4" width="6" customWidth="1"/>
    <col min="5" max="5" width="18.140625" customWidth="1"/>
    <col min="6" max="8" width="13.7109375" customWidth="1"/>
    <col min="9" max="9" width="18.140625" customWidth="1"/>
    <col min="10" max="10" width="13.85546875" customWidth="1"/>
    <col min="11" max="11" width="13.42578125" customWidth="1"/>
    <col min="12" max="12" width="22" customWidth="1"/>
    <col min="13" max="13" width="13.85546875" customWidth="1"/>
  </cols>
  <sheetData>
    <row r="1" spans="1:13">
      <c r="A1" s="7"/>
      <c r="B1" s="29"/>
      <c r="C1" s="7"/>
      <c r="D1" s="7"/>
      <c r="E1" s="7"/>
      <c r="F1" s="7"/>
      <c r="H1" s="58"/>
      <c r="I1" s="58"/>
      <c r="J1" s="58"/>
      <c r="K1" s="58"/>
      <c r="M1" s="58" t="s">
        <v>34</v>
      </c>
    </row>
    <row r="2" spans="1:13">
      <c r="A2" s="7"/>
      <c r="B2" s="29"/>
      <c r="C2" s="7"/>
      <c r="D2" s="7"/>
      <c r="E2" s="7"/>
      <c r="F2" s="7"/>
      <c r="I2" s="58"/>
      <c r="J2" s="58"/>
      <c r="K2" s="58"/>
      <c r="M2" s="58" t="s">
        <v>914</v>
      </c>
    </row>
    <row r="3" spans="1:13">
      <c r="A3" s="7"/>
      <c r="B3" s="29"/>
      <c r="C3" s="7"/>
      <c r="D3" s="7"/>
      <c r="E3" s="7"/>
      <c r="F3" s="7"/>
      <c r="G3" s="7"/>
      <c r="H3" s="7"/>
      <c r="I3" s="7"/>
      <c r="J3" s="7"/>
      <c r="K3" s="7"/>
    </row>
    <row r="4" spans="1:13">
      <c r="A4" s="1419" t="s">
        <v>915</v>
      </c>
      <c r="B4" s="1419"/>
      <c r="C4" s="1419"/>
      <c r="D4" s="1419"/>
      <c r="E4" s="1419"/>
      <c r="F4" s="1419"/>
      <c r="G4" s="1419"/>
      <c r="H4" s="1419"/>
      <c r="I4" s="1419"/>
      <c r="J4" s="1419"/>
      <c r="K4" s="1419"/>
      <c r="L4" s="1419"/>
      <c r="M4" s="1419"/>
    </row>
    <row r="5" spans="1:13">
      <c r="A5" s="1420" t="str">
        <f>+STATISTICS!A5</f>
        <v>ХАДГАЛАМЖ, ЗЭЭЛИЙН ХОРШООНЫ НЭР</v>
      </c>
      <c r="B5" s="1420"/>
      <c r="C5" s="1420"/>
      <c r="D5" s="1420"/>
      <c r="E5" s="1420"/>
      <c r="F5" s="1420"/>
      <c r="G5" s="1420"/>
      <c r="H5" s="1420"/>
      <c r="I5" s="1420"/>
      <c r="J5" s="1420"/>
      <c r="K5" s="1420"/>
      <c r="L5" s="1420"/>
      <c r="M5" s="1420"/>
    </row>
    <row r="6" spans="1:13">
      <c r="A6" s="1419" t="s">
        <v>38</v>
      </c>
      <c r="B6" s="1419"/>
      <c r="C6" s="1419"/>
      <c r="D6" s="1419"/>
      <c r="E6" s="1419"/>
      <c r="F6" s="1419"/>
      <c r="G6" s="1419"/>
      <c r="H6" s="1419"/>
      <c r="I6" s="1419"/>
      <c r="J6" s="1419"/>
      <c r="K6" s="1419"/>
      <c r="L6" s="1419"/>
      <c r="M6" s="1419"/>
    </row>
    <row r="7" spans="1:13">
      <c r="A7" s="7"/>
      <c r="B7" s="29"/>
      <c r="C7" s="7"/>
      <c r="D7" s="7"/>
      <c r="E7" s="7"/>
      <c r="F7" s="7"/>
      <c r="G7" s="7"/>
      <c r="H7" s="7"/>
      <c r="I7" s="7"/>
      <c r="J7" s="7"/>
      <c r="K7" s="7"/>
    </row>
    <row r="8" spans="1:13" ht="15.75" thickBot="1">
      <c r="A8" s="1597"/>
      <c r="B8" s="1598"/>
      <c r="C8" s="506"/>
      <c r="D8" s="506"/>
      <c r="E8" s="506"/>
      <c r="F8" s="506"/>
      <c r="G8" s="506"/>
      <c r="H8" s="506"/>
      <c r="I8" s="7"/>
      <c r="J8" s="7"/>
      <c r="M8" s="474" t="s">
        <v>117</v>
      </c>
    </row>
    <row r="9" spans="1:13" ht="15" customHeight="1">
      <c r="A9" s="1581" t="s">
        <v>39</v>
      </c>
      <c r="B9" s="1581" t="s">
        <v>916</v>
      </c>
      <c r="C9" s="1606"/>
      <c r="D9" s="1607"/>
      <c r="E9" s="1586" t="s">
        <v>917</v>
      </c>
      <c r="F9" s="1604" t="s">
        <v>918</v>
      </c>
      <c r="G9" s="1576" t="s">
        <v>919</v>
      </c>
      <c r="H9" s="1576" t="s">
        <v>920</v>
      </c>
      <c r="I9" s="1604" t="s">
        <v>921</v>
      </c>
      <c r="J9" s="1584" t="s">
        <v>865</v>
      </c>
      <c r="K9" s="1603" t="s">
        <v>922</v>
      </c>
      <c r="L9" s="1603" t="s">
        <v>923</v>
      </c>
      <c r="M9" s="1603" t="s">
        <v>922</v>
      </c>
    </row>
    <row r="10" spans="1:13" ht="41.25" customHeight="1" thickBot="1">
      <c r="A10" s="1582"/>
      <c r="B10" s="1033" t="s">
        <v>874</v>
      </c>
      <c r="C10" s="476" t="s">
        <v>875</v>
      </c>
      <c r="D10" s="917" t="s">
        <v>876</v>
      </c>
      <c r="E10" s="1587"/>
      <c r="F10" s="1577"/>
      <c r="G10" s="1577"/>
      <c r="H10" s="1577"/>
      <c r="I10" s="1577"/>
      <c r="J10" s="1605"/>
      <c r="K10" s="1579"/>
      <c r="L10" s="1579"/>
      <c r="M10" s="1579"/>
    </row>
    <row r="11" spans="1:13">
      <c r="A11" s="507">
        <v>1</v>
      </c>
      <c r="B11" s="508"/>
      <c r="C11" s="521"/>
      <c r="D11" s="487"/>
      <c r="E11" s="522"/>
      <c r="F11" s="523"/>
      <c r="G11" s="524"/>
      <c r="H11" s="481"/>
      <c r="I11" s="482"/>
      <c r="J11" s="525"/>
      <c r="K11" s="933" t="e">
        <f>+E11/Balancesheet!$G$12</f>
        <v>#DIV/0!</v>
      </c>
      <c r="L11" s="912">
        <f>+SUMIF($C$11:$C$50,C11,$E$11:$E$50)</f>
        <v>0</v>
      </c>
      <c r="M11" s="937" t="e">
        <f>+L11/Balancesheet!$G$12</f>
        <v>#DIV/0!</v>
      </c>
    </row>
    <row r="12" spans="1:13">
      <c r="A12" s="510">
        <v>2</v>
      </c>
      <c r="B12" s="511"/>
      <c r="C12" s="521"/>
      <c r="D12" s="487"/>
      <c r="E12" s="526"/>
      <c r="F12" s="527"/>
      <c r="G12" s="528"/>
      <c r="H12" s="489"/>
      <c r="I12" s="490"/>
      <c r="J12" s="529"/>
      <c r="K12" s="933" t="e">
        <f>+E12/Balancesheet!$G$12</f>
        <v>#DIV/0!</v>
      </c>
      <c r="L12" s="913">
        <f t="shared" ref="L12:L48" si="0">+SUMIF($C$11:$C$50,C12,$E$11:$E$50)</f>
        <v>0</v>
      </c>
      <c r="M12" s="937" t="e">
        <f>+L12/Balancesheet!$G$12</f>
        <v>#DIV/0!</v>
      </c>
    </row>
    <row r="13" spans="1:13">
      <c r="A13" s="510">
        <v>3</v>
      </c>
      <c r="B13" s="511"/>
      <c r="C13" s="521"/>
      <c r="D13" s="487"/>
      <c r="E13" s="526"/>
      <c r="F13" s="527"/>
      <c r="G13" s="528"/>
      <c r="H13" s="489"/>
      <c r="I13" s="490"/>
      <c r="J13" s="529"/>
      <c r="K13" s="933" t="e">
        <f>+E13/Balancesheet!$G$12</f>
        <v>#DIV/0!</v>
      </c>
      <c r="L13" s="913">
        <f t="shared" si="0"/>
        <v>0</v>
      </c>
      <c r="M13" s="937" t="e">
        <f>+L13/Balancesheet!$G$12</f>
        <v>#DIV/0!</v>
      </c>
    </row>
    <row r="14" spans="1:13">
      <c r="A14" s="510">
        <v>4</v>
      </c>
      <c r="B14" s="511"/>
      <c r="C14" s="521"/>
      <c r="D14" s="487"/>
      <c r="E14" s="526"/>
      <c r="F14" s="527"/>
      <c r="G14" s="528"/>
      <c r="H14" s="489"/>
      <c r="I14" s="490"/>
      <c r="J14" s="529"/>
      <c r="K14" s="933" t="e">
        <f>+E14/Balancesheet!$G$12</f>
        <v>#DIV/0!</v>
      </c>
      <c r="L14" s="913">
        <f t="shared" si="0"/>
        <v>0</v>
      </c>
      <c r="M14" s="937" t="e">
        <f>+L14/Balancesheet!$G$12</f>
        <v>#DIV/0!</v>
      </c>
    </row>
    <row r="15" spans="1:13">
      <c r="A15" s="510">
        <v>5</v>
      </c>
      <c r="B15" s="511"/>
      <c r="C15" s="521"/>
      <c r="D15" s="487"/>
      <c r="E15" s="526"/>
      <c r="F15" s="527"/>
      <c r="G15" s="528"/>
      <c r="H15" s="489"/>
      <c r="I15" s="490"/>
      <c r="J15" s="529"/>
      <c r="K15" s="933" t="e">
        <f>+E15/Balancesheet!$G$12</f>
        <v>#DIV/0!</v>
      </c>
      <c r="L15" s="913">
        <f t="shared" si="0"/>
        <v>0</v>
      </c>
      <c r="M15" s="937" t="e">
        <f>+L15/Balancesheet!$G$12</f>
        <v>#DIV/0!</v>
      </c>
    </row>
    <row r="16" spans="1:13">
      <c r="A16" s="510">
        <v>6</v>
      </c>
      <c r="B16" s="511"/>
      <c r="C16" s="521"/>
      <c r="D16" s="487"/>
      <c r="E16" s="526"/>
      <c r="F16" s="527"/>
      <c r="G16" s="528"/>
      <c r="H16" s="489"/>
      <c r="I16" s="490"/>
      <c r="J16" s="529"/>
      <c r="K16" s="933" t="e">
        <f>+E16/Balancesheet!$G$12</f>
        <v>#DIV/0!</v>
      </c>
      <c r="L16" s="913">
        <f t="shared" si="0"/>
        <v>0</v>
      </c>
      <c r="M16" s="937" t="e">
        <f>+L16/Balancesheet!$G$12</f>
        <v>#DIV/0!</v>
      </c>
    </row>
    <row r="17" spans="1:13">
      <c r="A17" s="510">
        <v>7</v>
      </c>
      <c r="B17" s="511"/>
      <c r="C17" s="521"/>
      <c r="D17" s="487"/>
      <c r="E17" s="526"/>
      <c r="F17" s="527"/>
      <c r="G17" s="528"/>
      <c r="H17" s="489"/>
      <c r="I17" s="490"/>
      <c r="J17" s="529"/>
      <c r="K17" s="933" t="e">
        <f>+E17/Balancesheet!$G$12</f>
        <v>#DIV/0!</v>
      </c>
      <c r="L17" s="913">
        <f t="shared" si="0"/>
        <v>0</v>
      </c>
      <c r="M17" s="937" t="e">
        <f>+L17/Balancesheet!$G$12</f>
        <v>#DIV/0!</v>
      </c>
    </row>
    <row r="18" spans="1:13">
      <c r="A18" s="510">
        <v>8</v>
      </c>
      <c r="B18" s="511"/>
      <c r="C18" s="521"/>
      <c r="D18" s="487"/>
      <c r="E18" s="526"/>
      <c r="F18" s="527"/>
      <c r="G18" s="528"/>
      <c r="H18" s="489"/>
      <c r="I18" s="490"/>
      <c r="J18" s="529"/>
      <c r="K18" s="933" t="e">
        <f>+E18/Balancesheet!$G$12</f>
        <v>#DIV/0!</v>
      </c>
      <c r="L18" s="913">
        <f t="shared" si="0"/>
        <v>0</v>
      </c>
      <c r="M18" s="937" t="e">
        <f>+L18/Balancesheet!$G$12</f>
        <v>#DIV/0!</v>
      </c>
    </row>
    <row r="19" spans="1:13">
      <c r="A19" s="510">
        <v>9</v>
      </c>
      <c r="B19" s="511"/>
      <c r="C19" s="521"/>
      <c r="D19" s="487"/>
      <c r="E19" s="526"/>
      <c r="F19" s="527"/>
      <c r="G19" s="528"/>
      <c r="H19" s="489"/>
      <c r="I19" s="490"/>
      <c r="J19" s="529"/>
      <c r="K19" s="933" t="e">
        <f>+E19/Balancesheet!$G$12</f>
        <v>#DIV/0!</v>
      </c>
      <c r="L19" s="913">
        <f t="shared" si="0"/>
        <v>0</v>
      </c>
      <c r="M19" s="937" t="e">
        <f>+L19/Balancesheet!$G$12</f>
        <v>#DIV/0!</v>
      </c>
    </row>
    <row r="20" spans="1:13">
      <c r="A20" s="510">
        <v>10</v>
      </c>
      <c r="B20" s="511"/>
      <c r="C20" s="521"/>
      <c r="D20" s="487"/>
      <c r="E20" s="526"/>
      <c r="F20" s="527"/>
      <c r="G20" s="528"/>
      <c r="H20" s="489"/>
      <c r="I20" s="490"/>
      <c r="J20" s="529"/>
      <c r="K20" s="933" t="e">
        <f>+E20/Balancesheet!$G$12</f>
        <v>#DIV/0!</v>
      </c>
      <c r="L20" s="913">
        <f t="shared" si="0"/>
        <v>0</v>
      </c>
      <c r="M20" s="937" t="e">
        <f>+L20/Balancesheet!$G$12</f>
        <v>#DIV/0!</v>
      </c>
    </row>
    <row r="21" spans="1:13">
      <c r="A21" s="510">
        <v>11</v>
      </c>
      <c r="B21" s="511"/>
      <c r="C21" s="521"/>
      <c r="D21" s="487"/>
      <c r="E21" s="526"/>
      <c r="F21" s="527"/>
      <c r="G21" s="528"/>
      <c r="H21" s="489"/>
      <c r="I21" s="490"/>
      <c r="J21" s="529"/>
      <c r="K21" s="933" t="e">
        <f>+E21/Balancesheet!$G$12</f>
        <v>#DIV/0!</v>
      </c>
      <c r="L21" s="913">
        <f t="shared" si="0"/>
        <v>0</v>
      </c>
      <c r="M21" s="937" t="e">
        <f>+L21/Balancesheet!$G$12</f>
        <v>#DIV/0!</v>
      </c>
    </row>
    <row r="22" spans="1:13">
      <c r="A22" s="510">
        <v>12</v>
      </c>
      <c r="B22" s="511"/>
      <c r="C22" s="521"/>
      <c r="D22" s="487"/>
      <c r="E22" s="526"/>
      <c r="F22" s="527"/>
      <c r="G22" s="528"/>
      <c r="H22" s="489"/>
      <c r="I22" s="490"/>
      <c r="J22" s="529"/>
      <c r="K22" s="933" t="e">
        <f>+E22/Balancesheet!$G$12</f>
        <v>#DIV/0!</v>
      </c>
      <c r="L22" s="913">
        <f t="shared" si="0"/>
        <v>0</v>
      </c>
      <c r="M22" s="937" t="e">
        <f>+L22/Balancesheet!$G$12</f>
        <v>#DIV/0!</v>
      </c>
    </row>
    <row r="23" spans="1:13">
      <c r="A23" s="510">
        <v>13</v>
      </c>
      <c r="B23" s="511"/>
      <c r="C23" s="521"/>
      <c r="D23" s="487"/>
      <c r="E23" s="526"/>
      <c r="F23" s="527"/>
      <c r="G23" s="528"/>
      <c r="H23" s="489"/>
      <c r="I23" s="490"/>
      <c r="J23" s="529"/>
      <c r="K23" s="933" t="e">
        <f>+E23/Balancesheet!$G$12</f>
        <v>#DIV/0!</v>
      </c>
      <c r="L23" s="913">
        <f t="shared" si="0"/>
        <v>0</v>
      </c>
      <c r="M23" s="937" t="e">
        <f>+L23/Balancesheet!$G$12</f>
        <v>#DIV/0!</v>
      </c>
    </row>
    <row r="24" spans="1:13">
      <c r="A24" s="510">
        <v>14</v>
      </c>
      <c r="B24" s="511"/>
      <c r="C24" s="521"/>
      <c r="D24" s="487"/>
      <c r="E24" s="526"/>
      <c r="F24" s="527"/>
      <c r="G24" s="528"/>
      <c r="H24" s="489"/>
      <c r="I24" s="490"/>
      <c r="J24" s="529"/>
      <c r="K24" s="933" t="e">
        <f>+E24/Balancesheet!$G$12</f>
        <v>#DIV/0!</v>
      </c>
      <c r="L24" s="913">
        <f t="shared" si="0"/>
        <v>0</v>
      </c>
      <c r="M24" s="937" t="e">
        <f>+L24/Balancesheet!$G$12</f>
        <v>#DIV/0!</v>
      </c>
    </row>
    <row r="25" spans="1:13">
      <c r="A25" s="510">
        <v>15</v>
      </c>
      <c r="B25" s="511"/>
      <c r="C25" s="521"/>
      <c r="D25" s="487"/>
      <c r="E25" s="526"/>
      <c r="F25" s="527"/>
      <c r="G25" s="528"/>
      <c r="H25" s="489"/>
      <c r="I25" s="490"/>
      <c r="J25" s="529"/>
      <c r="K25" s="933" t="e">
        <f>+E25/Balancesheet!$G$12</f>
        <v>#DIV/0!</v>
      </c>
      <c r="L25" s="913">
        <f t="shared" si="0"/>
        <v>0</v>
      </c>
      <c r="M25" s="937" t="e">
        <f>+L25/Balancesheet!$G$12</f>
        <v>#DIV/0!</v>
      </c>
    </row>
    <row r="26" spans="1:13">
      <c r="A26" s="510">
        <v>16</v>
      </c>
      <c r="B26" s="511"/>
      <c r="C26" s="521"/>
      <c r="D26" s="487"/>
      <c r="E26" s="526"/>
      <c r="F26" s="527"/>
      <c r="G26" s="528"/>
      <c r="H26" s="489"/>
      <c r="I26" s="490"/>
      <c r="J26" s="529"/>
      <c r="K26" s="933" t="e">
        <f>+E26/Balancesheet!$G$12</f>
        <v>#DIV/0!</v>
      </c>
      <c r="L26" s="913">
        <f t="shared" si="0"/>
        <v>0</v>
      </c>
      <c r="M26" s="937" t="e">
        <f>+L26/Balancesheet!$G$12</f>
        <v>#DIV/0!</v>
      </c>
    </row>
    <row r="27" spans="1:13">
      <c r="A27" s="510">
        <v>17</v>
      </c>
      <c r="B27" s="511"/>
      <c r="C27" s="521"/>
      <c r="D27" s="487"/>
      <c r="E27" s="526"/>
      <c r="F27" s="527"/>
      <c r="G27" s="528"/>
      <c r="H27" s="489"/>
      <c r="I27" s="490"/>
      <c r="J27" s="529"/>
      <c r="K27" s="933" t="e">
        <f>+E27/Balancesheet!$G$12</f>
        <v>#DIV/0!</v>
      </c>
      <c r="L27" s="913">
        <f t="shared" si="0"/>
        <v>0</v>
      </c>
      <c r="M27" s="937" t="e">
        <f>+L27/Balancesheet!$G$12</f>
        <v>#DIV/0!</v>
      </c>
    </row>
    <row r="28" spans="1:13">
      <c r="A28" s="510">
        <v>18</v>
      </c>
      <c r="B28" s="511"/>
      <c r="C28" s="521"/>
      <c r="D28" s="487"/>
      <c r="E28" s="526"/>
      <c r="F28" s="527"/>
      <c r="G28" s="528"/>
      <c r="H28" s="489"/>
      <c r="I28" s="490"/>
      <c r="J28" s="529"/>
      <c r="K28" s="933" t="e">
        <f>+E28/Balancesheet!$G$12</f>
        <v>#DIV/0!</v>
      </c>
      <c r="L28" s="913">
        <f t="shared" si="0"/>
        <v>0</v>
      </c>
      <c r="M28" s="937" t="e">
        <f>+L28/Balancesheet!$G$12</f>
        <v>#DIV/0!</v>
      </c>
    </row>
    <row r="29" spans="1:13">
      <c r="A29" s="510">
        <v>19</v>
      </c>
      <c r="B29" s="511"/>
      <c r="C29" s="521"/>
      <c r="D29" s="487"/>
      <c r="E29" s="526"/>
      <c r="F29" s="527"/>
      <c r="G29" s="528"/>
      <c r="H29" s="489"/>
      <c r="I29" s="490"/>
      <c r="J29" s="529"/>
      <c r="K29" s="933" t="e">
        <f>+E29/Balancesheet!$G$12</f>
        <v>#DIV/0!</v>
      </c>
      <c r="L29" s="913">
        <f t="shared" si="0"/>
        <v>0</v>
      </c>
      <c r="M29" s="937" t="e">
        <f>+L29/Balancesheet!$G$12</f>
        <v>#DIV/0!</v>
      </c>
    </row>
    <row r="30" spans="1:13">
      <c r="A30" s="513">
        <v>20</v>
      </c>
      <c r="B30" s="511"/>
      <c r="C30" s="521"/>
      <c r="D30" s="487"/>
      <c r="E30" s="526"/>
      <c r="F30" s="527"/>
      <c r="G30" s="528"/>
      <c r="H30" s="489"/>
      <c r="I30" s="490"/>
      <c r="J30" s="529"/>
      <c r="K30" s="933" t="e">
        <f>+E30/Balancesheet!$G$12</f>
        <v>#DIV/0!</v>
      </c>
      <c r="L30" s="913">
        <f t="shared" si="0"/>
        <v>0</v>
      </c>
      <c r="M30" s="937" t="e">
        <f>+L30/Balancesheet!$G$12</f>
        <v>#DIV/0!</v>
      </c>
    </row>
    <row r="31" spans="1:13">
      <c r="A31" s="510">
        <v>21</v>
      </c>
      <c r="B31" s="511"/>
      <c r="C31" s="521"/>
      <c r="D31" s="487"/>
      <c r="E31" s="526"/>
      <c r="F31" s="527"/>
      <c r="G31" s="528"/>
      <c r="H31" s="489"/>
      <c r="I31" s="490"/>
      <c r="J31" s="529"/>
      <c r="K31" s="933" t="e">
        <f>+E31/Balancesheet!$G$12</f>
        <v>#DIV/0!</v>
      </c>
      <c r="L31" s="913">
        <f t="shared" si="0"/>
        <v>0</v>
      </c>
      <c r="M31" s="937" t="e">
        <f>+L31/Balancesheet!$G$12</f>
        <v>#DIV/0!</v>
      </c>
    </row>
    <row r="32" spans="1:13">
      <c r="A32" s="513">
        <v>22</v>
      </c>
      <c r="B32" s="511"/>
      <c r="C32" s="521"/>
      <c r="D32" s="487"/>
      <c r="E32" s="526"/>
      <c r="F32" s="527"/>
      <c r="G32" s="528"/>
      <c r="H32" s="489"/>
      <c r="I32" s="490"/>
      <c r="J32" s="529"/>
      <c r="K32" s="933" t="e">
        <f>+E32/Balancesheet!$G$12</f>
        <v>#DIV/0!</v>
      </c>
      <c r="L32" s="913">
        <f t="shared" si="0"/>
        <v>0</v>
      </c>
      <c r="M32" s="937" t="e">
        <f>+L32/Balancesheet!$G$12</f>
        <v>#DIV/0!</v>
      </c>
    </row>
    <row r="33" spans="1:13">
      <c r="A33" s="510">
        <v>23</v>
      </c>
      <c r="B33" s="511"/>
      <c r="C33" s="521"/>
      <c r="D33" s="487"/>
      <c r="E33" s="526"/>
      <c r="F33" s="527"/>
      <c r="G33" s="528"/>
      <c r="H33" s="489"/>
      <c r="I33" s="490"/>
      <c r="J33" s="529"/>
      <c r="K33" s="933" t="e">
        <f>+E33/Balancesheet!$G$12</f>
        <v>#DIV/0!</v>
      </c>
      <c r="L33" s="913">
        <f t="shared" si="0"/>
        <v>0</v>
      </c>
      <c r="M33" s="937" t="e">
        <f>+L33/Balancesheet!$G$12</f>
        <v>#DIV/0!</v>
      </c>
    </row>
    <row r="34" spans="1:13">
      <c r="A34" s="513">
        <v>24</v>
      </c>
      <c r="B34" s="511"/>
      <c r="C34" s="521"/>
      <c r="D34" s="487"/>
      <c r="E34" s="526"/>
      <c r="F34" s="527"/>
      <c r="G34" s="528"/>
      <c r="H34" s="489"/>
      <c r="I34" s="490"/>
      <c r="J34" s="529"/>
      <c r="K34" s="933" t="e">
        <f>+E34/Balancesheet!$G$12</f>
        <v>#DIV/0!</v>
      </c>
      <c r="L34" s="913">
        <f t="shared" si="0"/>
        <v>0</v>
      </c>
      <c r="M34" s="937" t="e">
        <f>+L34/Balancesheet!$G$12</f>
        <v>#DIV/0!</v>
      </c>
    </row>
    <row r="35" spans="1:13">
      <c r="A35" s="510">
        <v>25</v>
      </c>
      <c r="B35" s="511"/>
      <c r="C35" s="521"/>
      <c r="D35" s="487"/>
      <c r="E35" s="526"/>
      <c r="F35" s="527"/>
      <c r="G35" s="528"/>
      <c r="H35" s="489"/>
      <c r="I35" s="490"/>
      <c r="J35" s="529"/>
      <c r="K35" s="933" t="e">
        <f>+E35/Balancesheet!$G$12</f>
        <v>#DIV/0!</v>
      </c>
      <c r="L35" s="913">
        <f t="shared" si="0"/>
        <v>0</v>
      </c>
      <c r="M35" s="937" t="e">
        <f>+L35/Balancesheet!$G$12</f>
        <v>#DIV/0!</v>
      </c>
    </row>
    <row r="36" spans="1:13">
      <c r="A36" s="513">
        <v>26</v>
      </c>
      <c r="B36" s="511"/>
      <c r="C36" s="521"/>
      <c r="D36" s="487"/>
      <c r="E36" s="526"/>
      <c r="F36" s="527"/>
      <c r="G36" s="528"/>
      <c r="H36" s="489"/>
      <c r="I36" s="490"/>
      <c r="J36" s="529"/>
      <c r="K36" s="933" t="e">
        <f>+E36/Balancesheet!$G$12</f>
        <v>#DIV/0!</v>
      </c>
      <c r="L36" s="913">
        <f t="shared" si="0"/>
        <v>0</v>
      </c>
      <c r="M36" s="937" t="e">
        <f>+L36/Balancesheet!$G$12</f>
        <v>#DIV/0!</v>
      </c>
    </row>
    <row r="37" spans="1:13">
      <c r="A37" s="510">
        <v>27</v>
      </c>
      <c r="B37" s="511"/>
      <c r="C37" s="521"/>
      <c r="D37" s="487"/>
      <c r="E37" s="526"/>
      <c r="F37" s="527"/>
      <c r="G37" s="528"/>
      <c r="H37" s="489"/>
      <c r="I37" s="490"/>
      <c r="J37" s="529"/>
      <c r="K37" s="933" t="e">
        <f>+E37/Balancesheet!$G$12</f>
        <v>#DIV/0!</v>
      </c>
      <c r="L37" s="913">
        <f t="shared" si="0"/>
        <v>0</v>
      </c>
      <c r="M37" s="937" t="e">
        <f>+L37/Balancesheet!$G$12</f>
        <v>#DIV/0!</v>
      </c>
    </row>
    <row r="38" spans="1:13">
      <c r="A38" s="513">
        <v>28</v>
      </c>
      <c r="B38" s="511"/>
      <c r="C38" s="521"/>
      <c r="D38" s="487"/>
      <c r="E38" s="526"/>
      <c r="F38" s="527"/>
      <c r="G38" s="528"/>
      <c r="H38" s="489"/>
      <c r="I38" s="490"/>
      <c r="J38" s="529"/>
      <c r="K38" s="933" t="e">
        <f>+E38/Balancesheet!$G$12</f>
        <v>#DIV/0!</v>
      </c>
      <c r="L38" s="913">
        <f t="shared" si="0"/>
        <v>0</v>
      </c>
      <c r="M38" s="937" t="e">
        <f>+L38/Balancesheet!$G$12</f>
        <v>#DIV/0!</v>
      </c>
    </row>
    <row r="39" spans="1:13">
      <c r="A39" s="510">
        <v>29</v>
      </c>
      <c r="B39" s="511"/>
      <c r="C39" s="521"/>
      <c r="D39" s="487"/>
      <c r="E39" s="526"/>
      <c r="F39" s="527"/>
      <c r="G39" s="528"/>
      <c r="H39" s="489"/>
      <c r="I39" s="490"/>
      <c r="J39" s="529"/>
      <c r="K39" s="933" t="e">
        <f>+E39/Balancesheet!$G$12</f>
        <v>#DIV/0!</v>
      </c>
      <c r="L39" s="913">
        <f t="shared" si="0"/>
        <v>0</v>
      </c>
      <c r="M39" s="937" t="e">
        <f>+L39/Balancesheet!$G$12</f>
        <v>#DIV/0!</v>
      </c>
    </row>
    <row r="40" spans="1:13">
      <c r="A40" s="513">
        <v>30</v>
      </c>
      <c r="B40" s="511"/>
      <c r="C40" s="521"/>
      <c r="D40" s="487"/>
      <c r="E40" s="526"/>
      <c r="F40" s="527"/>
      <c r="G40" s="528"/>
      <c r="H40" s="489"/>
      <c r="I40" s="490"/>
      <c r="J40" s="529"/>
      <c r="K40" s="933" t="e">
        <f>+E40/Balancesheet!$G$12</f>
        <v>#DIV/0!</v>
      </c>
      <c r="L40" s="913">
        <f t="shared" si="0"/>
        <v>0</v>
      </c>
      <c r="M40" s="937" t="e">
        <f>+L40/Balancesheet!$G$12</f>
        <v>#DIV/0!</v>
      </c>
    </row>
    <row r="41" spans="1:13">
      <c r="A41" s="510">
        <v>31</v>
      </c>
      <c r="B41" s="511"/>
      <c r="C41" s="521"/>
      <c r="D41" s="487"/>
      <c r="E41" s="526"/>
      <c r="F41" s="527"/>
      <c r="G41" s="528"/>
      <c r="H41" s="489"/>
      <c r="I41" s="490"/>
      <c r="J41" s="529"/>
      <c r="K41" s="933" t="e">
        <f>+E41/Balancesheet!$G$12</f>
        <v>#DIV/0!</v>
      </c>
      <c r="L41" s="913">
        <f t="shared" si="0"/>
        <v>0</v>
      </c>
      <c r="M41" s="937" t="e">
        <f>+L41/Balancesheet!$G$12</f>
        <v>#DIV/0!</v>
      </c>
    </row>
    <row r="42" spans="1:13">
      <c r="A42" s="513">
        <v>32</v>
      </c>
      <c r="B42" s="511"/>
      <c r="C42" s="521"/>
      <c r="D42" s="487"/>
      <c r="E42" s="526"/>
      <c r="F42" s="527"/>
      <c r="G42" s="528"/>
      <c r="H42" s="489"/>
      <c r="I42" s="490"/>
      <c r="J42" s="529"/>
      <c r="K42" s="933" t="e">
        <f>+E42/Balancesheet!$G$12</f>
        <v>#DIV/0!</v>
      </c>
      <c r="L42" s="913">
        <f t="shared" si="0"/>
        <v>0</v>
      </c>
      <c r="M42" s="937" t="e">
        <f>+L42/Balancesheet!$G$12</f>
        <v>#DIV/0!</v>
      </c>
    </row>
    <row r="43" spans="1:13">
      <c r="A43" s="510">
        <v>33</v>
      </c>
      <c r="B43" s="511"/>
      <c r="C43" s="521"/>
      <c r="D43" s="487"/>
      <c r="E43" s="526"/>
      <c r="F43" s="527"/>
      <c r="G43" s="528"/>
      <c r="H43" s="489"/>
      <c r="I43" s="490"/>
      <c r="J43" s="529"/>
      <c r="K43" s="933" t="e">
        <f>+E43/Balancesheet!$G$12</f>
        <v>#DIV/0!</v>
      </c>
      <c r="L43" s="913">
        <f t="shared" si="0"/>
        <v>0</v>
      </c>
      <c r="M43" s="937" t="e">
        <f>+L43/Balancesheet!$G$12</f>
        <v>#DIV/0!</v>
      </c>
    </row>
    <row r="44" spans="1:13">
      <c r="A44" s="513">
        <v>34</v>
      </c>
      <c r="B44" s="511"/>
      <c r="C44" s="521"/>
      <c r="D44" s="487"/>
      <c r="E44" s="526"/>
      <c r="F44" s="527"/>
      <c r="G44" s="528"/>
      <c r="H44" s="489"/>
      <c r="I44" s="490"/>
      <c r="J44" s="529"/>
      <c r="K44" s="933" t="e">
        <f>+E44/Balancesheet!$G$12</f>
        <v>#DIV/0!</v>
      </c>
      <c r="L44" s="913">
        <f t="shared" si="0"/>
        <v>0</v>
      </c>
      <c r="M44" s="937" t="e">
        <f>+L44/Balancesheet!$G$12</f>
        <v>#DIV/0!</v>
      </c>
    </row>
    <row r="45" spans="1:13">
      <c r="A45" s="510">
        <v>35</v>
      </c>
      <c r="B45" s="511"/>
      <c r="C45" s="521"/>
      <c r="D45" s="487"/>
      <c r="E45" s="526"/>
      <c r="F45" s="527"/>
      <c r="G45" s="528"/>
      <c r="H45" s="489"/>
      <c r="I45" s="490"/>
      <c r="J45" s="529"/>
      <c r="K45" s="933" t="e">
        <f>+E45/Balancesheet!$G$12</f>
        <v>#DIV/0!</v>
      </c>
      <c r="L45" s="913">
        <f t="shared" si="0"/>
        <v>0</v>
      </c>
      <c r="M45" s="937" t="e">
        <f>+L45/Balancesheet!$G$12</f>
        <v>#DIV/0!</v>
      </c>
    </row>
    <row r="46" spans="1:13">
      <c r="A46" s="513">
        <v>36</v>
      </c>
      <c r="B46" s="511"/>
      <c r="C46" s="521"/>
      <c r="D46" s="487"/>
      <c r="E46" s="526"/>
      <c r="F46" s="527"/>
      <c r="G46" s="528"/>
      <c r="H46" s="489"/>
      <c r="I46" s="490"/>
      <c r="J46" s="529"/>
      <c r="K46" s="933" t="e">
        <f>+E46/Balancesheet!$G$12</f>
        <v>#DIV/0!</v>
      </c>
      <c r="L46" s="913">
        <f t="shared" si="0"/>
        <v>0</v>
      </c>
      <c r="M46" s="937" t="e">
        <f>+L46/Balancesheet!$G$12</f>
        <v>#DIV/0!</v>
      </c>
    </row>
    <row r="47" spans="1:13">
      <c r="A47" s="510">
        <v>37</v>
      </c>
      <c r="B47" s="511"/>
      <c r="C47" s="521"/>
      <c r="D47" s="487"/>
      <c r="E47" s="526"/>
      <c r="F47" s="527"/>
      <c r="G47" s="528"/>
      <c r="H47" s="489"/>
      <c r="I47" s="490"/>
      <c r="J47" s="529"/>
      <c r="K47" s="933" t="e">
        <f>+E47/Balancesheet!$G$12</f>
        <v>#DIV/0!</v>
      </c>
      <c r="L47" s="913">
        <f t="shared" si="0"/>
        <v>0</v>
      </c>
      <c r="M47" s="937" t="e">
        <f>+L47/Balancesheet!$G$12</f>
        <v>#DIV/0!</v>
      </c>
    </row>
    <row r="48" spans="1:13">
      <c r="A48" s="513">
        <v>38</v>
      </c>
      <c r="B48" s="511"/>
      <c r="C48" s="521"/>
      <c r="D48" s="487"/>
      <c r="E48" s="526"/>
      <c r="F48" s="527"/>
      <c r="G48" s="528"/>
      <c r="H48" s="489"/>
      <c r="I48" s="490"/>
      <c r="J48" s="529"/>
      <c r="K48" s="933" t="e">
        <f>+E48/Balancesheet!$G$12</f>
        <v>#DIV/0!</v>
      </c>
      <c r="L48" s="913">
        <f t="shared" si="0"/>
        <v>0</v>
      </c>
      <c r="M48" s="937" t="e">
        <f>+L48/Balancesheet!$G$12</f>
        <v>#DIV/0!</v>
      </c>
    </row>
    <row r="49" spans="1:15">
      <c r="A49" s="510">
        <v>39</v>
      </c>
      <c r="B49" s="511"/>
      <c r="C49" s="521"/>
      <c r="D49" s="487"/>
      <c r="E49" s="526"/>
      <c r="F49" s="527"/>
      <c r="G49" s="528"/>
      <c r="H49" s="489"/>
      <c r="I49" s="490"/>
      <c r="J49" s="529"/>
      <c r="K49" s="933" t="e">
        <f>+E49/Balancesheet!$G$12</f>
        <v>#DIV/0!</v>
      </c>
      <c r="L49" s="913">
        <f>+SUMIF($C$11:$C$50,C49,$E$11:$E$50)</f>
        <v>0</v>
      </c>
      <c r="M49" s="937" t="e">
        <f>+L49/Balancesheet!$G$12</f>
        <v>#DIV/0!</v>
      </c>
    </row>
    <row r="50" spans="1:15" ht="15.75" thickBot="1">
      <c r="A50" s="513">
        <v>40</v>
      </c>
      <c r="B50" s="514"/>
      <c r="C50" s="521"/>
      <c r="D50" s="487"/>
      <c r="E50" s="530"/>
      <c r="F50" s="531"/>
      <c r="G50" s="532"/>
      <c r="H50" s="496"/>
      <c r="I50" s="497"/>
      <c r="J50" s="533"/>
      <c r="K50" s="934" t="e">
        <f>+E50/Balancesheet!$G$12</f>
        <v>#DIV/0!</v>
      </c>
      <c r="L50" s="914">
        <f>+SUMIF($C$11:$C$50,C50,$E$11:$E$50)</f>
        <v>0</v>
      </c>
      <c r="M50" s="937" t="e">
        <f>+L50/Balancesheet!$G$12</f>
        <v>#DIV/0!</v>
      </c>
    </row>
    <row r="51" spans="1:15" ht="15.75" thickBot="1">
      <c r="A51" s="1572" t="s">
        <v>924</v>
      </c>
      <c r="B51" s="1573"/>
      <c r="C51" s="1573"/>
      <c r="D51" s="1574"/>
      <c r="E51" s="534">
        <f>SUM(E11:E50)</f>
        <v>0</v>
      </c>
      <c r="F51" s="535"/>
      <c r="G51" s="536"/>
      <c r="H51" s="536"/>
      <c r="I51" s="536"/>
      <c r="J51" s="537"/>
      <c r="K51" s="935" t="e">
        <f>+E51/Balancesheet!$G$12</f>
        <v>#DIV/0!</v>
      </c>
      <c r="L51" s="499"/>
      <c r="M51" s="938"/>
    </row>
    <row r="52" spans="1:15" ht="26.25">
      <c r="A52" s="7"/>
      <c r="B52" s="29"/>
      <c r="C52" s="7"/>
      <c r="D52" s="7"/>
      <c r="E52" s="503"/>
      <c r="F52" s="503"/>
      <c r="G52" s="503"/>
      <c r="H52" s="1602" t="s">
        <v>925</v>
      </c>
      <c r="I52" s="1602"/>
      <c r="J52" s="1602"/>
      <c r="K52" s="936" t="e">
        <f>MAX(K11:K50)</f>
        <v>#DIV/0!</v>
      </c>
      <c r="L52" s="1034" t="s">
        <v>926</v>
      </c>
      <c r="M52" s="939" t="e">
        <f>MAX(M11:M50)</f>
        <v>#DIV/0!</v>
      </c>
    </row>
    <row r="53" spans="1:15">
      <c r="A53" s="7"/>
      <c r="B53" s="1032">
        <f>COUNTA(B11:B50)</f>
        <v>0</v>
      </c>
      <c r="C53" s="1032">
        <f>+STATISTICS!C60</f>
        <v>0</v>
      </c>
      <c r="D53" s="300" t="str">
        <f>+IF(C53&lt;=40,IF(B53&gt;=C53,"","Хадгаламж эзэмшигчдийн тоо дутуу байх тул бүрэн шивж оруулна уу."),"")</f>
        <v/>
      </c>
      <c r="E53" s="503"/>
      <c r="F53" s="503"/>
      <c r="G53" s="503"/>
      <c r="H53" s="503"/>
      <c r="I53" s="503"/>
      <c r="J53" s="503"/>
      <c r="K53" s="1035"/>
      <c r="L53" s="679"/>
      <c r="M53" s="1036"/>
    </row>
    <row r="54" spans="1:15">
      <c r="A54" s="7"/>
      <c r="B54" s="29"/>
      <c r="C54" s="7"/>
      <c r="D54" s="503"/>
      <c r="F54" s="503"/>
      <c r="G54" s="503"/>
      <c r="H54" s="503"/>
      <c r="I54" s="503"/>
      <c r="J54" s="503"/>
      <c r="K54" s="1035"/>
      <c r="L54" s="679"/>
      <c r="M54" s="1036"/>
    </row>
    <row r="55" spans="1:15" ht="15" customHeight="1">
      <c r="A55" s="1434" t="s">
        <v>647</v>
      </c>
      <c r="B55" s="1434"/>
      <c r="C55" s="1434"/>
      <c r="D55" s="1434"/>
      <c r="E55" s="1434"/>
      <c r="F55" s="1434"/>
      <c r="G55" s="1434"/>
      <c r="H55" s="1434"/>
      <c r="I55" s="1434"/>
      <c r="J55" s="1434"/>
      <c r="K55" s="1434"/>
      <c r="L55" s="1434"/>
      <c r="M55" s="1434"/>
      <c r="N55" s="1031"/>
      <c r="O55" s="1031"/>
    </row>
    <row r="56" spans="1:15" ht="15" customHeight="1">
      <c r="A56" s="1553" t="s">
        <v>927</v>
      </c>
      <c r="B56" s="1553"/>
      <c r="C56" s="1553"/>
      <c r="D56" s="1553"/>
      <c r="E56" s="1553"/>
      <c r="F56" s="1553"/>
      <c r="G56" s="1553"/>
      <c r="H56" s="1553"/>
      <c r="I56" s="1553"/>
      <c r="J56" s="1553"/>
      <c r="K56" s="1553"/>
      <c r="L56" s="1553"/>
      <c r="M56" s="1553"/>
    </row>
    <row r="57" spans="1:15" ht="15" customHeight="1">
      <c r="A57" s="1553" t="s">
        <v>928</v>
      </c>
      <c r="B57" s="1553"/>
      <c r="C57" s="1553"/>
      <c r="D57" s="1553"/>
      <c r="E57" s="1553"/>
      <c r="F57" s="1553"/>
      <c r="G57" s="1553"/>
      <c r="H57" s="1553"/>
      <c r="I57" s="1553"/>
      <c r="J57" s="1553"/>
      <c r="K57" s="1553"/>
      <c r="L57" s="1553"/>
      <c r="M57" s="1553"/>
    </row>
    <row r="58" spans="1:15">
      <c r="A58" s="1538" t="s">
        <v>929</v>
      </c>
      <c r="B58" s="1538"/>
      <c r="C58" s="1538"/>
      <c r="D58" s="1538"/>
      <c r="E58" s="1538"/>
      <c r="F58" s="1538"/>
      <c r="G58" s="1538"/>
      <c r="H58" s="1538"/>
      <c r="I58" s="1538"/>
      <c r="J58" s="1538"/>
      <c r="K58" s="1538"/>
      <c r="L58" s="1538"/>
      <c r="M58" s="1538"/>
    </row>
    <row r="59" spans="1:15" ht="25.5" customHeight="1">
      <c r="A59" s="1553" t="s">
        <v>930</v>
      </c>
      <c r="B59" s="1553"/>
      <c r="C59" s="1553"/>
      <c r="D59" s="1553"/>
      <c r="E59" s="1553"/>
      <c r="F59" s="1553"/>
      <c r="G59" s="1553"/>
      <c r="H59" s="1553"/>
      <c r="I59" s="1553"/>
      <c r="J59" s="1553"/>
      <c r="K59" s="1553"/>
      <c r="L59" s="1553"/>
      <c r="M59" s="1553"/>
    </row>
    <row r="61" spans="1:15">
      <c r="A61" s="1419" t="s">
        <v>111</v>
      </c>
      <c r="B61" s="1419"/>
      <c r="C61" s="1419"/>
      <c r="D61" s="1419"/>
      <c r="E61" s="1419"/>
      <c r="F61" s="1419"/>
      <c r="G61" s="1419"/>
      <c r="H61" s="1419"/>
      <c r="I61" s="1419"/>
      <c r="J61" s="1419"/>
      <c r="K61" s="1419"/>
      <c r="L61" s="1419"/>
      <c r="M61" s="1419"/>
      <c r="N61" s="1024"/>
    </row>
    <row r="62" spans="1:15">
      <c r="A62" s="1431" t="s">
        <v>112</v>
      </c>
      <c r="B62" s="1431"/>
      <c r="C62" s="1431"/>
      <c r="D62" s="1431"/>
      <c r="E62" s="1431"/>
      <c r="F62" s="1431"/>
      <c r="G62" s="1431"/>
      <c r="H62" s="1431"/>
      <c r="I62" s="1431"/>
      <c r="J62" s="1431"/>
      <c r="K62" s="1431"/>
      <c r="L62" s="1431"/>
      <c r="M62" s="1431"/>
      <c r="N62" s="7"/>
    </row>
    <row r="63" spans="1:15">
      <c r="A63" s="7"/>
      <c r="B63" s="29"/>
      <c r="C63" s="7"/>
      <c r="D63" s="7"/>
      <c r="E63" s="7"/>
      <c r="F63" s="29"/>
      <c r="G63" s="41"/>
      <c r="H63" s="7"/>
      <c r="I63" s="7"/>
      <c r="J63" s="7"/>
      <c r="K63" s="7"/>
      <c r="L63" s="7"/>
      <c r="M63" s="7"/>
      <c r="N63" s="7"/>
    </row>
    <row r="64" spans="1:15">
      <c r="A64" s="7"/>
      <c r="B64" s="29"/>
      <c r="C64" s="7"/>
      <c r="D64" s="7"/>
      <c r="E64" s="7"/>
      <c r="F64" s="29"/>
      <c r="G64" s="40" t="s">
        <v>392</v>
      </c>
      <c r="I64" s="7" t="str">
        <f>+STATISTICS!C112</f>
        <v>/Нэр/</v>
      </c>
      <c r="K64" s="7"/>
      <c r="L64" s="1595"/>
      <c r="M64" s="1596"/>
      <c r="N64" s="7"/>
    </row>
    <row r="65" spans="1:14">
      <c r="A65" s="180"/>
      <c r="B65" s="679"/>
      <c r="C65" s="180"/>
      <c r="D65" s="180"/>
      <c r="E65" s="180"/>
      <c r="F65" s="679"/>
      <c r="G65" s="42"/>
      <c r="I65" s="7"/>
      <c r="K65" s="180"/>
      <c r="L65" s="180"/>
      <c r="M65" s="180"/>
      <c r="N65" s="180"/>
    </row>
    <row r="66" spans="1:14">
      <c r="A66" s="180"/>
      <c r="B66" s="679"/>
      <c r="C66" s="180"/>
      <c r="D66" s="180"/>
      <c r="E66" s="180"/>
      <c r="F66" s="679"/>
      <c r="G66" s="40" t="s">
        <v>115</v>
      </c>
      <c r="I66" s="7" t="str">
        <f>+STATISTICS!C114</f>
        <v>/Нэр/</v>
      </c>
      <c r="K66" s="180"/>
      <c r="L66" s="180"/>
      <c r="M66" s="180"/>
      <c r="N66" s="180"/>
    </row>
  </sheetData>
  <sheetProtection algorithmName="SHA-512" hashValue="AohGO4DP1pNpEyTXq1S7NVR1L7ywyRj1cgQIjIH6TsLJyVV/M6Y1sYCEf6UAUKm/JbwQaYsTNUt/eUUzHt4MqA==" saltValue="lI3cOJ1fmWi+erbFdrBlZA==" spinCount="100000" sheet="1" objects="1" scenarios="1"/>
  <mergeCells count="25">
    <mergeCell ref="A4:M4"/>
    <mergeCell ref="A5:M5"/>
    <mergeCell ref="A6:M6"/>
    <mergeCell ref="H9:H10"/>
    <mergeCell ref="M9:M10"/>
    <mergeCell ref="L9:L10"/>
    <mergeCell ref="A8:B8"/>
    <mergeCell ref="I9:I10"/>
    <mergeCell ref="J9:J10"/>
    <mergeCell ref="K9:K10"/>
    <mergeCell ref="A9:A10"/>
    <mergeCell ref="B9:D9"/>
    <mergeCell ref="E9:E10"/>
    <mergeCell ref="F9:F10"/>
    <mergeCell ref="G9:G10"/>
    <mergeCell ref="A58:M58"/>
    <mergeCell ref="A59:M59"/>
    <mergeCell ref="L64:M64"/>
    <mergeCell ref="A51:D51"/>
    <mergeCell ref="A61:M61"/>
    <mergeCell ref="A62:M62"/>
    <mergeCell ref="H52:J52"/>
    <mergeCell ref="A55:M55"/>
    <mergeCell ref="A56:M56"/>
    <mergeCell ref="A57:M57"/>
  </mergeCells>
  <dataValidations count="9">
    <dataValidation type="decimal" allowBlank="1" showInputMessage="1" showErrorMessage="1" prompt="Хүү сарын 1.5% бол мэдээллийг 0.15, 0.015 бус 1.5 гэж оруулахыг анхаарна уу!" sqref="H11:H50" xr:uid="{E6FC2FE7-8050-46E8-B9C1-255C136036D7}">
      <formula1>0</formula1>
      <formula2>0.2</formula2>
    </dataValidation>
    <dataValidation type="date" allowBlank="1" showErrorMessage="1" sqref="I51:J51" xr:uid="{E4A3A257-E807-4313-B31C-6CC64EDCF615}">
      <formula1>1</formula1>
      <formula2>99999</formula2>
    </dataValidation>
    <dataValidation type="list" allowBlank="1" showInputMessage="1" showErrorMessage="1" prompt="Сонгоно уу!_x000a_" sqref="F11:F50" xr:uid="{87E6F573-A694-4890-88BD-F9FAC70D4DCE}">
      <formula1>"Хугацаатай, Хугацаагүй"</formula1>
    </dataValidation>
    <dataValidation type="date" allowBlank="1" showErrorMessage="1" sqref="I11:J50" xr:uid="{5B1AD625-D134-4207-AFF3-DA01804ED4EA}">
      <formula1>1</formula1>
      <formula2>109860</formula2>
    </dataValidation>
    <dataValidation type="whole" allowBlank="1" showInputMessage="1" showErrorMessage="1" sqref="G11:G50" xr:uid="{1E53EC72-FC1E-4207-BFF5-90E7CE519E25}">
      <formula1>0</formula1>
      <formula2>100000</formula2>
    </dataValidation>
    <dataValidation type="decimal" allowBlank="1" showInputMessage="1" showErrorMessage="1" sqref="E11:E50" xr:uid="{E8537875-0844-4D79-8D36-6CBAD2A3A810}">
      <formula1>0</formula1>
      <formula2>10000000000000000</formula2>
    </dataValidation>
    <dataValidation type="list" allowBlank="1" showInputMessage="1" showErrorMessage="1" prompt="Сонгоно уу!" sqref="D11:D50" xr:uid="{DC101868-57F7-4A90-988B-084AE853EEBE}">
      <formula1>"Эр, Эм"</formula1>
    </dataValidation>
    <dataValidation type="decimal" allowBlank="1" showInputMessage="1" showErrorMessage="1" sqref="L11:L51" xr:uid="{5865A92A-4010-42CC-9F9C-0A86C36B3041}">
      <formula1>0</formula1>
      <formula2>100000000000000</formula2>
    </dataValidation>
    <dataValidation type="textLength" operator="equal" allowBlank="1" showInputMessage="1" showErrorMessage="1" sqref="C11:C50" xr:uid="{07B58341-3F8B-46A5-A65C-10CC1B6EB6B8}">
      <formula1>10</formula1>
    </dataValidation>
  </dataValidations>
  <pageMargins left="0.7" right="0.7" top="0.75" bottom="0.75" header="0.3" footer="0.3"/>
  <pageSetup paperSize="9" scale="6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3AC0-AE6C-4EB2-AB53-B134F3CFC1C5}">
  <dimension ref="A1:P66"/>
  <sheetViews>
    <sheetView topLeftCell="A31" workbookViewId="0">
      <selection activeCell="F57" sqref="F57"/>
    </sheetView>
  </sheetViews>
  <sheetFormatPr defaultRowHeight="12.75"/>
  <cols>
    <col min="1" max="1" width="4.85546875" style="180" customWidth="1"/>
    <col min="2" max="2" width="36.140625" style="180" customWidth="1"/>
    <col min="3" max="3" width="7.28515625" style="180" customWidth="1"/>
    <col min="4" max="4" width="23" style="180" customWidth="1"/>
    <col min="5" max="5" width="21" style="180" customWidth="1"/>
    <col min="6" max="16384" width="9.140625" style="180"/>
  </cols>
  <sheetData>
    <row r="1" spans="1:13">
      <c r="A1" s="7"/>
      <c r="B1" s="7"/>
      <c r="C1" s="7"/>
      <c r="E1" s="58" t="s">
        <v>34</v>
      </c>
      <c r="F1" s="469"/>
      <c r="G1" s="469"/>
    </row>
    <row r="2" spans="1:13">
      <c r="A2" s="7"/>
      <c r="B2" s="7"/>
      <c r="C2" s="7"/>
      <c r="E2" s="58" t="s">
        <v>931</v>
      </c>
      <c r="F2" s="469"/>
      <c r="G2" s="469"/>
    </row>
    <row r="3" spans="1:13">
      <c r="A3" s="7"/>
      <c r="B3" s="7"/>
      <c r="C3" s="7"/>
      <c r="D3" s="7"/>
      <c r="E3" s="7"/>
    </row>
    <row r="4" spans="1:13">
      <c r="A4" s="1419" t="s">
        <v>932</v>
      </c>
      <c r="B4" s="1596"/>
      <c r="C4" s="1596"/>
      <c r="D4" s="1596"/>
      <c r="E4" s="1596"/>
    </row>
    <row r="5" spans="1:13">
      <c r="A5" s="1420" t="str">
        <f>+STATISTICS!A5</f>
        <v>ХАДГАЛАМЖ, ЗЭЭЛИЙН ХОРШООНЫ НЭР</v>
      </c>
      <c r="B5" s="1596"/>
      <c r="C5" s="1596"/>
      <c r="D5" s="1596"/>
      <c r="E5" s="1596"/>
    </row>
    <row r="6" spans="1:13">
      <c r="A6" s="1419" t="s">
        <v>38</v>
      </c>
      <c r="B6" s="1596"/>
      <c r="C6" s="1596"/>
      <c r="D6" s="1596"/>
      <c r="E6" s="1596"/>
    </row>
    <row r="7" spans="1:13">
      <c r="A7" s="7"/>
      <c r="B7" s="7"/>
      <c r="C7" s="7"/>
      <c r="D7" s="7"/>
      <c r="E7" s="7"/>
    </row>
    <row r="8" spans="1:13" ht="13.5" thickBot="1">
      <c r="A8" s="1597"/>
      <c r="B8" s="1598"/>
      <c r="C8" s="505"/>
      <c r="D8" s="506"/>
      <c r="E8" s="474" t="s">
        <v>117</v>
      </c>
    </row>
    <row r="9" spans="1:13">
      <c r="A9" s="1603" t="s">
        <v>39</v>
      </c>
      <c r="B9" s="1583" t="s">
        <v>933</v>
      </c>
      <c r="C9" s="1609" t="s">
        <v>876</v>
      </c>
      <c r="D9" s="1586" t="s">
        <v>934</v>
      </c>
      <c r="E9" s="1611" t="s">
        <v>935</v>
      </c>
    </row>
    <row r="10" spans="1:13" ht="27.75" customHeight="1" thickBot="1">
      <c r="A10" s="1579"/>
      <c r="B10" s="1608"/>
      <c r="C10" s="1610"/>
      <c r="D10" s="1587"/>
      <c r="E10" s="1605"/>
    </row>
    <row r="11" spans="1:13">
      <c r="A11" s="538">
        <v>1</v>
      </c>
      <c r="B11" s="508"/>
      <c r="C11" s="487"/>
      <c r="D11" s="539"/>
      <c r="E11" s="940" t="e">
        <f>+D11/Balancesheet!$G$60</f>
        <v>#DIV/0!</v>
      </c>
      <c r="F11" s="300" t="str">
        <f>IF(B11&gt;0,IF(D11&gt;0,"","Гишүүний хувь хөрөнгийн мэдээллийг бүрэн шивж оруулна уу."),"")</f>
        <v/>
      </c>
    </row>
    <row r="12" spans="1:13">
      <c r="A12" s="540">
        <v>2</v>
      </c>
      <c r="B12" s="511"/>
      <c r="C12" s="487"/>
      <c r="D12" s="541"/>
      <c r="E12" s="940" t="e">
        <f>+D12/Balancesheet!$G$60</f>
        <v>#DIV/0!</v>
      </c>
      <c r="F12" s="300" t="str">
        <f t="shared" ref="F12:F50" si="0">IF(B12&gt;0,IF(D12&gt;0,"","Гишүүний хувь хөрөнгийн мэдээллийг бүрэн шивж оруулна уу."),"")</f>
        <v/>
      </c>
      <c r="M12" s="542"/>
    </row>
    <row r="13" spans="1:13">
      <c r="A13" s="540">
        <v>3</v>
      </c>
      <c r="B13" s="511"/>
      <c r="C13" s="487"/>
      <c r="D13" s="541"/>
      <c r="E13" s="940" t="e">
        <f>+D13/Balancesheet!$G$60</f>
        <v>#DIV/0!</v>
      </c>
      <c r="F13" s="300" t="str">
        <f t="shared" si="0"/>
        <v/>
      </c>
      <c r="M13" s="542"/>
    </row>
    <row r="14" spans="1:13">
      <c r="A14" s="540">
        <v>4</v>
      </c>
      <c r="B14" s="511"/>
      <c r="C14" s="487"/>
      <c r="D14" s="541"/>
      <c r="E14" s="940" t="e">
        <f>+D14/Balancesheet!$G$60</f>
        <v>#DIV/0!</v>
      </c>
      <c r="F14" s="300" t="str">
        <f t="shared" si="0"/>
        <v/>
      </c>
      <c r="M14" s="542"/>
    </row>
    <row r="15" spans="1:13">
      <c r="A15" s="540">
        <v>5</v>
      </c>
      <c r="B15" s="511"/>
      <c r="C15" s="487"/>
      <c r="D15" s="541"/>
      <c r="E15" s="940" t="e">
        <f>+D15/Balancesheet!$G$60</f>
        <v>#DIV/0!</v>
      </c>
      <c r="F15" s="300" t="str">
        <f t="shared" si="0"/>
        <v/>
      </c>
    </row>
    <row r="16" spans="1:13">
      <c r="A16" s="540">
        <v>6</v>
      </c>
      <c r="B16" s="511"/>
      <c r="C16" s="487"/>
      <c r="D16" s="541"/>
      <c r="E16" s="940" t="e">
        <f>+D16/Balancesheet!$G$60</f>
        <v>#DIV/0!</v>
      </c>
      <c r="F16" s="300" t="str">
        <f t="shared" si="0"/>
        <v/>
      </c>
    </row>
    <row r="17" spans="1:6">
      <c r="A17" s="540">
        <v>7</v>
      </c>
      <c r="B17" s="511"/>
      <c r="C17" s="487"/>
      <c r="D17" s="541"/>
      <c r="E17" s="940" t="e">
        <f>+D17/Balancesheet!$G$60</f>
        <v>#DIV/0!</v>
      </c>
      <c r="F17" s="300" t="str">
        <f t="shared" si="0"/>
        <v/>
      </c>
    </row>
    <row r="18" spans="1:6">
      <c r="A18" s="540">
        <v>8</v>
      </c>
      <c r="B18" s="511"/>
      <c r="C18" s="487"/>
      <c r="D18" s="541"/>
      <c r="E18" s="940" t="e">
        <f>+D18/Balancesheet!$G$60</f>
        <v>#DIV/0!</v>
      </c>
      <c r="F18" s="300" t="str">
        <f t="shared" si="0"/>
        <v/>
      </c>
    </row>
    <row r="19" spans="1:6">
      <c r="A19" s="540">
        <v>9</v>
      </c>
      <c r="B19" s="511"/>
      <c r="C19" s="487"/>
      <c r="D19" s="541"/>
      <c r="E19" s="940" t="e">
        <f>+D19/Balancesheet!$G$60</f>
        <v>#DIV/0!</v>
      </c>
      <c r="F19" s="300" t="str">
        <f t="shared" si="0"/>
        <v/>
      </c>
    </row>
    <row r="20" spans="1:6">
      <c r="A20" s="540">
        <v>10</v>
      </c>
      <c r="B20" s="511"/>
      <c r="C20" s="487"/>
      <c r="D20" s="541"/>
      <c r="E20" s="940" t="e">
        <f>+D20/Balancesheet!$G$60</f>
        <v>#DIV/0!</v>
      </c>
      <c r="F20" s="300" t="str">
        <f t="shared" si="0"/>
        <v/>
      </c>
    </row>
    <row r="21" spans="1:6">
      <c r="A21" s="540">
        <v>11</v>
      </c>
      <c r="B21" s="511"/>
      <c r="C21" s="487"/>
      <c r="D21" s="541"/>
      <c r="E21" s="940" t="e">
        <f>+D21/Balancesheet!$G$60</f>
        <v>#DIV/0!</v>
      </c>
      <c r="F21" s="300" t="str">
        <f t="shared" si="0"/>
        <v/>
      </c>
    </row>
    <row r="22" spans="1:6">
      <c r="A22" s="540">
        <v>12</v>
      </c>
      <c r="B22" s="511"/>
      <c r="C22" s="487"/>
      <c r="D22" s="541"/>
      <c r="E22" s="940" t="e">
        <f>+D22/Balancesheet!$G$60</f>
        <v>#DIV/0!</v>
      </c>
      <c r="F22" s="300" t="str">
        <f t="shared" si="0"/>
        <v/>
      </c>
    </row>
    <row r="23" spans="1:6">
      <c r="A23" s="540">
        <v>13</v>
      </c>
      <c r="B23" s="511"/>
      <c r="C23" s="487"/>
      <c r="D23" s="541"/>
      <c r="E23" s="940" t="e">
        <f>+D23/Balancesheet!$G$60</f>
        <v>#DIV/0!</v>
      </c>
      <c r="F23" s="300" t="str">
        <f t="shared" si="0"/>
        <v/>
      </c>
    </row>
    <row r="24" spans="1:6">
      <c r="A24" s="540">
        <v>14</v>
      </c>
      <c r="B24" s="511"/>
      <c r="C24" s="487"/>
      <c r="D24" s="541"/>
      <c r="E24" s="940" t="e">
        <f>+D24/Balancesheet!$G$60</f>
        <v>#DIV/0!</v>
      </c>
      <c r="F24" s="300" t="str">
        <f t="shared" si="0"/>
        <v/>
      </c>
    </row>
    <row r="25" spans="1:6">
      <c r="A25" s="540">
        <v>15</v>
      </c>
      <c r="B25" s="511"/>
      <c r="C25" s="487"/>
      <c r="D25" s="541"/>
      <c r="E25" s="940" t="e">
        <f>+D25/Balancesheet!$G$60</f>
        <v>#DIV/0!</v>
      </c>
      <c r="F25" s="300" t="str">
        <f t="shared" si="0"/>
        <v/>
      </c>
    </row>
    <row r="26" spans="1:6">
      <c r="A26" s="540">
        <v>16</v>
      </c>
      <c r="B26" s="511"/>
      <c r="C26" s="487"/>
      <c r="D26" s="541"/>
      <c r="E26" s="940" t="e">
        <f>+D26/Balancesheet!$G$60</f>
        <v>#DIV/0!</v>
      </c>
      <c r="F26" s="300" t="str">
        <f t="shared" si="0"/>
        <v/>
      </c>
    </row>
    <row r="27" spans="1:6">
      <c r="A27" s="540">
        <v>17</v>
      </c>
      <c r="B27" s="511"/>
      <c r="C27" s="487"/>
      <c r="D27" s="541"/>
      <c r="E27" s="940" t="e">
        <f>+D27/Balancesheet!$G$60</f>
        <v>#DIV/0!</v>
      </c>
      <c r="F27" s="300" t="str">
        <f t="shared" si="0"/>
        <v/>
      </c>
    </row>
    <row r="28" spans="1:6">
      <c r="A28" s="540">
        <v>18</v>
      </c>
      <c r="B28" s="511"/>
      <c r="C28" s="487"/>
      <c r="D28" s="541"/>
      <c r="E28" s="940" t="e">
        <f>+D28/Balancesheet!$G$60</f>
        <v>#DIV/0!</v>
      </c>
      <c r="F28" s="300" t="str">
        <f t="shared" si="0"/>
        <v/>
      </c>
    </row>
    <row r="29" spans="1:6">
      <c r="A29" s="540">
        <v>19</v>
      </c>
      <c r="B29" s="511"/>
      <c r="C29" s="487"/>
      <c r="D29" s="541"/>
      <c r="E29" s="940" t="e">
        <f>+D29/Balancesheet!$G$60</f>
        <v>#DIV/0!</v>
      </c>
      <c r="F29" s="300" t="str">
        <f t="shared" si="0"/>
        <v/>
      </c>
    </row>
    <row r="30" spans="1:6">
      <c r="A30" s="540">
        <v>20</v>
      </c>
      <c r="B30" s="511"/>
      <c r="C30" s="487"/>
      <c r="D30" s="541"/>
      <c r="E30" s="940" t="e">
        <f>+D30/Balancesheet!$G$60</f>
        <v>#DIV/0!</v>
      </c>
      <c r="F30" s="300" t="str">
        <f t="shared" si="0"/>
        <v/>
      </c>
    </row>
    <row r="31" spans="1:6">
      <c r="A31" s="540">
        <v>21</v>
      </c>
      <c r="B31" s="511"/>
      <c r="C31" s="487"/>
      <c r="D31" s="541"/>
      <c r="E31" s="940" t="e">
        <f>+D31/Balancesheet!$G$60</f>
        <v>#DIV/0!</v>
      </c>
      <c r="F31" s="300" t="str">
        <f t="shared" si="0"/>
        <v/>
      </c>
    </row>
    <row r="32" spans="1:6">
      <c r="A32" s="543">
        <v>22</v>
      </c>
      <c r="B32" s="511"/>
      <c r="C32" s="487"/>
      <c r="D32" s="541"/>
      <c r="E32" s="940" t="e">
        <f>+D32/Balancesheet!$G$60</f>
        <v>#DIV/0!</v>
      </c>
      <c r="F32" s="300" t="str">
        <f t="shared" si="0"/>
        <v/>
      </c>
    </row>
    <row r="33" spans="1:6">
      <c r="A33" s="540">
        <v>23</v>
      </c>
      <c r="B33" s="511"/>
      <c r="C33" s="487"/>
      <c r="D33" s="541"/>
      <c r="E33" s="940" t="e">
        <f>+D33/Balancesheet!$G$60</f>
        <v>#DIV/0!</v>
      </c>
      <c r="F33" s="300" t="str">
        <f t="shared" si="0"/>
        <v/>
      </c>
    </row>
    <row r="34" spans="1:6">
      <c r="A34" s="543">
        <v>24</v>
      </c>
      <c r="B34" s="511"/>
      <c r="C34" s="487"/>
      <c r="D34" s="541"/>
      <c r="E34" s="940" t="e">
        <f>+D34/Balancesheet!$G$60</f>
        <v>#DIV/0!</v>
      </c>
      <c r="F34" s="300" t="str">
        <f t="shared" si="0"/>
        <v/>
      </c>
    </row>
    <row r="35" spans="1:6">
      <c r="A35" s="540">
        <v>25</v>
      </c>
      <c r="B35" s="511"/>
      <c r="C35" s="487"/>
      <c r="D35" s="541"/>
      <c r="E35" s="940" t="e">
        <f>+D35/Balancesheet!$G$60</f>
        <v>#DIV/0!</v>
      </c>
      <c r="F35" s="300" t="str">
        <f t="shared" si="0"/>
        <v/>
      </c>
    </row>
    <row r="36" spans="1:6">
      <c r="A36" s="543">
        <v>26</v>
      </c>
      <c r="B36" s="511"/>
      <c r="C36" s="487"/>
      <c r="D36" s="541"/>
      <c r="E36" s="940" t="e">
        <f>+D36/Balancesheet!$G$60</f>
        <v>#DIV/0!</v>
      </c>
      <c r="F36" s="300" t="str">
        <f t="shared" si="0"/>
        <v/>
      </c>
    </row>
    <row r="37" spans="1:6">
      <c r="A37" s="540">
        <v>27</v>
      </c>
      <c r="B37" s="511"/>
      <c r="C37" s="487"/>
      <c r="D37" s="541"/>
      <c r="E37" s="940" t="e">
        <f>+D37/Balancesheet!$G$60</f>
        <v>#DIV/0!</v>
      </c>
      <c r="F37" s="300" t="str">
        <f t="shared" si="0"/>
        <v/>
      </c>
    </row>
    <row r="38" spans="1:6">
      <c r="A38" s="543">
        <v>28</v>
      </c>
      <c r="B38" s="511"/>
      <c r="C38" s="487"/>
      <c r="D38" s="541"/>
      <c r="E38" s="940" t="e">
        <f>+D38/Balancesheet!$G$60</f>
        <v>#DIV/0!</v>
      </c>
      <c r="F38" s="300" t="str">
        <f t="shared" si="0"/>
        <v/>
      </c>
    </row>
    <row r="39" spans="1:6">
      <c r="A39" s="540">
        <v>29</v>
      </c>
      <c r="B39" s="511"/>
      <c r="C39" s="487"/>
      <c r="D39" s="541"/>
      <c r="E39" s="940" t="e">
        <f>+D39/Balancesheet!$G$60</f>
        <v>#DIV/0!</v>
      </c>
      <c r="F39" s="300" t="str">
        <f t="shared" si="0"/>
        <v/>
      </c>
    </row>
    <row r="40" spans="1:6">
      <c r="A40" s="543">
        <v>30</v>
      </c>
      <c r="B40" s="511"/>
      <c r="C40" s="487"/>
      <c r="D40" s="541"/>
      <c r="E40" s="940" t="e">
        <f>+D40/Balancesheet!$G$60</f>
        <v>#DIV/0!</v>
      </c>
      <c r="F40" s="300" t="str">
        <f t="shared" si="0"/>
        <v/>
      </c>
    </row>
    <row r="41" spans="1:6">
      <c r="A41" s="540">
        <v>31</v>
      </c>
      <c r="B41" s="511"/>
      <c r="C41" s="487"/>
      <c r="D41" s="541"/>
      <c r="E41" s="940" t="e">
        <f>+D41/Balancesheet!$G$60</f>
        <v>#DIV/0!</v>
      </c>
      <c r="F41" s="300" t="str">
        <f t="shared" si="0"/>
        <v/>
      </c>
    </row>
    <row r="42" spans="1:6">
      <c r="A42" s="543">
        <v>32</v>
      </c>
      <c r="B42" s="511"/>
      <c r="C42" s="487"/>
      <c r="D42" s="541"/>
      <c r="E42" s="940" t="e">
        <f>+D42/Balancesheet!$G$60</f>
        <v>#DIV/0!</v>
      </c>
      <c r="F42" s="300" t="str">
        <f t="shared" si="0"/>
        <v/>
      </c>
    </row>
    <row r="43" spans="1:6">
      <c r="A43" s="540">
        <v>33</v>
      </c>
      <c r="B43" s="511"/>
      <c r="C43" s="487"/>
      <c r="D43" s="541"/>
      <c r="E43" s="940" t="e">
        <f>+D43/Balancesheet!$G$60</f>
        <v>#DIV/0!</v>
      </c>
      <c r="F43" s="300" t="str">
        <f t="shared" si="0"/>
        <v/>
      </c>
    </row>
    <row r="44" spans="1:6">
      <c r="A44" s="543">
        <v>34</v>
      </c>
      <c r="B44" s="511"/>
      <c r="C44" s="487"/>
      <c r="D44" s="541"/>
      <c r="E44" s="940" t="e">
        <f>+D44/Balancesheet!$G$60</f>
        <v>#DIV/0!</v>
      </c>
      <c r="F44" s="300" t="str">
        <f t="shared" si="0"/>
        <v/>
      </c>
    </row>
    <row r="45" spans="1:6">
      <c r="A45" s="540">
        <v>35</v>
      </c>
      <c r="B45" s="511"/>
      <c r="C45" s="487"/>
      <c r="D45" s="541"/>
      <c r="E45" s="940" t="e">
        <f>+D45/Balancesheet!$G$60</f>
        <v>#DIV/0!</v>
      </c>
      <c r="F45" s="300" t="str">
        <f t="shared" si="0"/>
        <v/>
      </c>
    </row>
    <row r="46" spans="1:6">
      <c r="A46" s="543">
        <v>36</v>
      </c>
      <c r="B46" s="511"/>
      <c r="C46" s="487"/>
      <c r="D46" s="541"/>
      <c r="E46" s="940" t="e">
        <f>+D46/Balancesheet!$G$60</f>
        <v>#DIV/0!</v>
      </c>
      <c r="F46" s="300" t="str">
        <f t="shared" si="0"/>
        <v/>
      </c>
    </row>
    <row r="47" spans="1:6">
      <c r="A47" s="540">
        <v>37</v>
      </c>
      <c r="B47" s="511"/>
      <c r="C47" s="487"/>
      <c r="D47" s="541"/>
      <c r="E47" s="940" t="e">
        <f>+D47/Balancesheet!$G$60</f>
        <v>#DIV/0!</v>
      </c>
      <c r="F47" s="300" t="str">
        <f t="shared" si="0"/>
        <v/>
      </c>
    </row>
    <row r="48" spans="1:6">
      <c r="A48" s="543">
        <v>38</v>
      </c>
      <c r="B48" s="511"/>
      <c r="C48" s="487"/>
      <c r="D48" s="541"/>
      <c r="E48" s="940" t="e">
        <f>+D48/Balancesheet!$G$60</f>
        <v>#DIV/0!</v>
      </c>
      <c r="F48" s="300" t="str">
        <f t="shared" si="0"/>
        <v/>
      </c>
    </row>
    <row r="49" spans="1:16">
      <c r="A49" s="540">
        <v>39</v>
      </c>
      <c r="B49" s="511"/>
      <c r="C49" s="487"/>
      <c r="D49" s="541"/>
      <c r="E49" s="940" t="e">
        <f>+D49/Balancesheet!$G$60</f>
        <v>#DIV/0!</v>
      </c>
      <c r="F49" s="300" t="str">
        <f t="shared" si="0"/>
        <v/>
      </c>
    </row>
    <row r="50" spans="1:16" ht="13.5" thickBot="1">
      <c r="A50" s="544">
        <v>40</v>
      </c>
      <c r="B50" s="514"/>
      <c r="C50" s="487"/>
      <c r="D50" s="545"/>
      <c r="E50" s="940" t="e">
        <f>+D50/Balancesheet!$G$60</f>
        <v>#DIV/0!</v>
      </c>
      <c r="F50" s="300" t="str">
        <f t="shared" si="0"/>
        <v/>
      </c>
    </row>
    <row r="51" spans="1:16" ht="15" customHeight="1" thickBot="1">
      <c r="A51" s="1572" t="s">
        <v>924</v>
      </c>
      <c r="B51" s="1573"/>
      <c r="C51" s="1574"/>
      <c r="D51" s="546">
        <f>SUM(D11:D50)</f>
        <v>0</v>
      </c>
      <c r="E51" s="547" t="e">
        <f>SUM(E11:E50)</f>
        <v>#DIV/0!</v>
      </c>
    </row>
    <row r="52" spans="1:16">
      <c r="B52" s="548" t="s">
        <v>936</v>
      </c>
      <c r="C52" s="548"/>
      <c r="D52" s="549">
        <f t="shared" ref="D52" si="1">MAX(D11:D30)</f>
        <v>0</v>
      </c>
      <c r="E52" s="550" t="e">
        <f>MAX(E11:E50)</f>
        <v>#DIV/0!</v>
      </c>
    </row>
    <row r="53" spans="1:16">
      <c r="A53" s="7"/>
      <c r="B53" s="551">
        <f>+COUNTA(B11:B50)</f>
        <v>0</v>
      </c>
      <c r="C53" s="551"/>
      <c r="D53" s="551">
        <f>+STATISTICS!C12</f>
        <v>0</v>
      </c>
      <c r="E53" s="300" t="str">
        <f>+IF(D53&lt;=40,IF(D51=Balancesheet!G60,"","Нийт хувь хөрөнгийн дүн зөрүүтэй"),"")</f>
        <v/>
      </c>
    </row>
    <row r="54" spans="1:16" ht="12.75" customHeight="1">
      <c r="A54" s="1434" t="s">
        <v>647</v>
      </c>
      <c r="B54" s="1434"/>
      <c r="C54" s="1434"/>
      <c r="D54" s="1434"/>
      <c r="E54" s="1434"/>
      <c r="F54" s="1031"/>
      <c r="G54" s="1031"/>
      <c r="H54" s="1031"/>
      <c r="I54" s="1031"/>
      <c r="J54" s="1031"/>
      <c r="K54" s="1031"/>
      <c r="L54" s="1031"/>
      <c r="M54" s="1031"/>
      <c r="N54" s="1031"/>
      <c r="O54" s="1031"/>
      <c r="P54" s="1031"/>
    </row>
    <row r="55" spans="1:16" ht="15" customHeight="1">
      <c r="A55" s="1553" t="s">
        <v>937</v>
      </c>
      <c r="B55" s="1553"/>
      <c r="C55" s="1553"/>
      <c r="D55" s="1553"/>
      <c r="E55" s="1553"/>
      <c r="F55"/>
      <c r="G55"/>
      <c r="H55"/>
      <c r="I55"/>
      <c r="J55"/>
      <c r="K55"/>
      <c r="L55"/>
      <c r="M55"/>
      <c r="N55"/>
      <c r="O55"/>
    </row>
    <row r="56" spans="1:16" ht="15" customHeight="1">
      <c r="A56" s="1553" t="s">
        <v>938</v>
      </c>
      <c r="B56" s="1553"/>
      <c r="C56" s="1553"/>
      <c r="D56" s="1553"/>
      <c r="E56" s="1553"/>
      <c r="F56"/>
      <c r="G56"/>
      <c r="H56"/>
      <c r="I56"/>
      <c r="J56"/>
      <c r="K56"/>
      <c r="L56"/>
      <c r="M56"/>
      <c r="N56"/>
      <c r="O56"/>
    </row>
    <row r="57" spans="1:16" ht="27.75" customHeight="1">
      <c r="A57" s="1553" t="s">
        <v>939</v>
      </c>
      <c r="B57" s="1553"/>
      <c r="C57" s="1553"/>
      <c r="D57" s="1553"/>
      <c r="E57" s="1553"/>
      <c r="F57"/>
      <c r="G57"/>
      <c r="H57"/>
      <c r="I57"/>
      <c r="J57"/>
      <c r="K57"/>
      <c r="L57"/>
      <c r="M57"/>
      <c r="N57"/>
      <c r="O57"/>
    </row>
    <row r="58" spans="1:16" ht="32.25" customHeight="1">
      <c r="A58" s="1612" t="s">
        <v>940</v>
      </c>
      <c r="B58" s="1612"/>
      <c r="C58" s="1612"/>
      <c r="D58" s="1612"/>
      <c r="E58" s="1612"/>
      <c r="F58"/>
      <c r="G58"/>
      <c r="H58"/>
      <c r="I58"/>
      <c r="J58"/>
      <c r="K58"/>
      <c r="L58"/>
      <c r="M58"/>
      <c r="N58"/>
      <c r="O58"/>
    </row>
    <row r="59" spans="1:16">
      <c r="A59" s="7"/>
      <c r="B59" s="7"/>
      <c r="C59" s="7"/>
      <c r="D59" s="7"/>
      <c r="E59" s="552"/>
    </row>
    <row r="60" spans="1:16">
      <c r="A60" s="1419" t="s">
        <v>111</v>
      </c>
      <c r="B60" s="1419"/>
      <c r="C60" s="1419"/>
      <c r="D60" s="1419"/>
      <c r="E60" s="1419"/>
    </row>
    <row r="61" spans="1:16">
      <c r="A61" s="1431" t="s">
        <v>112</v>
      </c>
      <c r="B61" s="1431"/>
      <c r="C61" s="1431"/>
      <c r="D61" s="1431"/>
      <c r="E61" s="1431"/>
    </row>
    <row r="62" spans="1:16">
      <c r="A62" s="7"/>
      <c r="B62" s="7"/>
      <c r="C62" s="7"/>
      <c r="D62" s="7"/>
      <c r="E62" s="7"/>
    </row>
    <row r="63" spans="1:16">
      <c r="A63" s="7"/>
      <c r="B63" s="40" t="s">
        <v>392</v>
      </c>
      <c r="C63" s="40"/>
      <c r="D63" s="7" t="str">
        <f>+STATISTICS!C112</f>
        <v>/Нэр/</v>
      </c>
      <c r="E63" s="7"/>
    </row>
    <row r="64" spans="1:16">
      <c r="A64" s="7"/>
      <c r="B64" s="42"/>
      <c r="C64" s="42"/>
      <c r="D64" s="7"/>
      <c r="E64" s="7"/>
    </row>
    <row r="65" spans="1:5">
      <c r="A65" s="7"/>
      <c r="B65" s="40" t="s">
        <v>115</v>
      </c>
      <c r="C65" s="40"/>
      <c r="D65" s="7" t="str">
        <f>+STATISTICS!C114</f>
        <v>/Нэр/</v>
      </c>
      <c r="E65" s="7"/>
    </row>
    <row r="66" spans="1:5">
      <c r="A66" s="7"/>
      <c r="B66" s="7"/>
      <c r="C66" s="7"/>
      <c r="D66" s="7"/>
      <c r="E66" s="7"/>
    </row>
  </sheetData>
  <sheetProtection algorithmName="SHA-512" hashValue="UquAiXy0JETGx0pUKjzeYc0UCCQgojvw02SKlSzE1Ef4psG4qSM9QEvJe2uGdMarShs9XaEEKe/q0LmS8unn5A==" saltValue="26pdlgNoXj8Y93PH4qassw==" spinCount="100000" sheet="1" objects="1" scenarios="1"/>
  <mergeCells count="17">
    <mergeCell ref="A58:E58"/>
    <mergeCell ref="A51:C51"/>
    <mergeCell ref="A57:E57"/>
    <mergeCell ref="A60:E60"/>
    <mergeCell ref="A61:E61"/>
    <mergeCell ref="A54:E54"/>
    <mergeCell ref="A55:E55"/>
    <mergeCell ref="A56:E56"/>
    <mergeCell ref="A4:E4"/>
    <mergeCell ref="A5:E5"/>
    <mergeCell ref="A6:E6"/>
    <mergeCell ref="A8:B8"/>
    <mergeCell ref="A9:A10"/>
    <mergeCell ref="B9:B10"/>
    <mergeCell ref="C9:C10"/>
    <mergeCell ref="D9:D10"/>
    <mergeCell ref="E9:E10"/>
  </mergeCells>
  <dataValidations count="2">
    <dataValidation type="decimal" allowBlank="1" showInputMessage="1" showErrorMessage="1" sqref="D11:D50" xr:uid="{E86B46F6-D81B-4CCC-881B-DA9A4296865F}">
      <formula1>0</formula1>
      <formula2>10000000000000000</formula2>
    </dataValidation>
    <dataValidation type="list" allowBlank="1" showInputMessage="1" showErrorMessage="1" sqref="C11:C50" xr:uid="{0C2DBF2F-0FE4-4A9E-824E-AE72900765C3}">
      <formula1>"Эр, Эм"</formula1>
    </dataValidation>
  </dataValidations>
  <pageMargins left="0.7" right="0.7" top="0.75" bottom="0.75" header="0.3" footer="0.3"/>
  <pageSetup paperSize="9" scale="9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969E8-08F0-41AE-B0CF-529C1899BE3D}">
  <dimension ref="A1:L48"/>
  <sheetViews>
    <sheetView topLeftCell="A17" zoomScaleNormal="100" workbookViewId="0">
      <selection activeCell="J16" sqref="J16"/>
    </sheetView>
  </sheetViews>
  <sheetFormatPr defaultRowHeight="15"/>
  <cols>
    <col min="1" max="1" width="3.140625" bestFit="1" customWidth="1"/>
    <col min="2" max="2" width="30.28515625" customWidth="1"/>
    <col min="3" max="10" width="19.140625" customWidth="1"/>
    <col min="11" max="11" width="24" customWidth="1"/>
  </cols>
  <sheetData>
    <row r="1" spans="1:12">
      <c r="A1" s="553"/>
      <c r="B1" s="553"/>
      <c r="C1" s="554"/>
      <c r="D1" s="554"/>
      <c r="E1" s="554"/>
      <c r="F1" s="554"/>
      <c r="G1" s="555"/>
      <c r="H1" s="556"/>
      <c r="I1" s="556"/>
      <c r="J1" s="556"/>
      <c r="K1" s="58" t="s">
        <v>34</v>
      </c>
      <c r="L1" s="1"/>
    </row>
    <row r="2" spans="1:12">
      <c r="A2" s="553"/>
      <c r="B2" s="553"/>
      <c r="C2" s="554"/>
      <c r="D2" s="554"/>
      <c r="E2" s="554"/>
      <c r="F2" s="555"/>
      <c r="G2" s="557"/>
      <c r="H2" s="558"/>
      <c r="I2" s="553"/>
      <c r="J2" s="553"/>
      <c r="K2" s="58" t="s">
        <v>941</v>
      </c>
      <c r="L2" s="1"/>
    </row>
    <row r="3" spans="1:12">
      <c r="A3" s="553"/>
      <c r="B3" s="553"/>
      <c r="C3" s="554"/>
      <c r="D3" s="554"/>
      <c r="E3" s="554"/>
      <c r="F3" s="554"/>
      <c r="G3" s="554"/>
      <c r="H3" s="559"/>
      <c r="I3" s="559"/>
      <c r="J3" s="559"/>
      <c r="K3" s="559"/>
      <c r="L3" s="1"/>
    </row>
    <row r="4" spans="1:12">
      <c r="A4" s="1638" t="s">
        <v>942</v>
      </c>
      <c r="B4" s="1633"/>
      <c r="C4" s="1633"/>
      <c r="D4" s="1633"/>
      <c r="E4" s="1633"/>
      <c r="F4" s="1633"/>
      <c r="G4" s="1633"/>
      <c r="H4" s="1633"/>
      <c r="I4" s="1633"/>
      <c r="J4" s="1633"/>
      <c r="K4" s="1633"/>
      <c r="L4" s="1"/>
    </row>
    <row r="5" spans="1:12">
      <c r="A5" s="1639" t="str">
        <f>+STATISTICS!A5</f>
        <v>ХАДГАЛАМЖ, ЗЭЭЛИЙН ХОРШООНЫ НЭР</v>
      </c>
      <c r="B5" s="1633"/>
      <c r="C5" s="1633"/>
      <c r="D5" s="1633"/>
      <c r="E5" s="1633"/>
      <c r="F5" s="1633"/>
      <c r="G5" s="1633"/>
      <c r="H5" s="1633"/>
      <c r="I5" s="1633"/>
      <c r="J5" s="1633"/>
      <c r="K5" s="1633"/>
      <c r="L5" s="1"/>
    </row>
    <row r="6" spans="1:12">
      <c r="A6" s="1638" t="s">
        <v>38</v>
      </c>
      <c r="B6" s="1633"/>
      <c r="C6" s="1633"/>
      <c r="D6" s="1633"/>
      <c r="E6" s="1633"/>
      <c r="F6" s="1633"/>
      <c r="G6" s="1633"/>
      <c r="H6" s="1633"/>
      <c r="I6" s="1633"/>
      <c r="J6" s="1633"/>
      <c r="K6" s="1633"/>
      <c r="L6" s="1"/>
    </row>
    <row r="7" spans="1:12">
      <c r="A7" s="553"/>
      <c r="B7" s="553"/>
      <c r="C7" s="554"/>
      <c r="D7" s="554"/>
      <c r="E7" s="554"/>
      <c r="F7" s="554"/>
      <c r="G7" s="554"/>
      <c r="H7" s="554"/>
      <c r="I7" s="554"/>
      <c r="J7" s="554"/>
      <c r="K7" s="554"/>
      <c r="L7" s="1"/>
    </row>
    <row r="8" spans="1:12" ht="15.75" thickBot="1">
      <c r="A8" s="1640"/>
      <c r="B8" s="1641"/>
      <c r="C8" s="560"/>
      <c r="D8" s="560"/>
      <c r="E8" s="554"/>
      <c r="F8" s="554"/>
      <c r="G8" s="554"/>
      <c r="H8" s="554"/>
      <c r="I8" s="554"/>
      <c r="J8" s="554"/>
      <c r="K8" s="474" t="s">
        <v>117</v>
      </c>
      <c r="L8" s="1"/>
    </row>
    <row r="9" spans="1:12" ht="15.75" thickBot="1">
      <c r="A9" s="1642" t="s">
        <v>943</v>
      </c>
      <c r="B9" s="1643"/>
      <c r="C9" s="655" t="s">
        <v>944</v>
      </c>
      <c r="D9" s="655" t="s">
        <v>134</v>
      </c>
      <c r="E9" s="655" t="s">
        <v>945</v>
      </c>
      <c r="F9" s="655" t="s">
        <v>946</v>
      </c>
      <c r="G9" s="655" t="s">
        <v>947</v>
      </c>
      <c r="H9" s="655" t="s">
        <v>948</v>
      </c>
      <c r="I9" s="655" t="s">
        <v>949</v>
      </c>
      <c r="J9" s="655" t="s">
        <v>950</v>
      </c>
      <c r="K9" s="656" t="s">
        <v>951</v>
      </c>
      <c r="L9" s="1"/>
    </row>
    <row r="10" spans="1:12">
      <c r="A10" s="1635" t="s">
        <v>952</v>
      </c>
      <c r="B10" s="1636"/>
      <c r="C10" s="1636"/>
      <c r="D10" s="1636"/>
      <c r="E10" s="1636"/>
      <c r="F10" s="1636"/>
      <c r="G10" s="1636"/>
      <c r="H10" s="1636"/>
      <c r="I10" s="1636"/>
      <c r="J10" s="1636"/>
      <c r="K10" s="1637"/>
      <c r="L10" s="1"/>
    </row>
    <row r="11" spans="1:12">
      <c r="A11" s="562">
        <v>1</v>
      </c>
      <c r="B11" s="650" t="s">
        <v>126</v>
      </c>
      <c r="C11" s="565">
        <f>+Balancesheet!C12</f>
        <v>0</v>
      </c>
      <c r="D11" s="1634" t="s">
        <v>573</v>
      </c>
      <c r="E11" s="1634"/>
      <c r="F11" s="1634"/>
      <c r="G11" s="1634"/>
      <c r="H11" s="1634"/>
      <c r="I11" s="1634"/>
      <c r="J11" s="1634"/>
      <c r="K11" s="653">
        <f>+C11</f>
        <v>0</v>
      </c>
      <c r="L11" s="561" t="str">
        <f>IF(K11=Balancesheet!C12,"","Балансын дүнгээс "&amp;K11-Balancesheet!C12&amp;"-ээр зөрүүтэй байна")</f>
        <v/>
      </c>
    </row>
    <row r="12" spans="1:12" ht="25.5">
      <c r="A12" s="562">
        <v>2</v>
      </c>
      <c r="B12" s="650" t="s">
        <v>953</v>
      </c>
      <c r="C12" s="565">
        <f>+Balancesheet!C13</f>
        <v>0</v>
      </c>
      <c r="D12" s="1634" t="s">
        <v>573</v>
      </c>
      <c r="E12" s="1634"/>
      <c r="F12" s="1634"/>
      <c r="G12" s="1634"/>
      <c r="H12" s="1634"/>
      <c r="I12" s="1634"/>
      <c r="J12" s="1634"/>
      <c r="K12" s="653">
        <f>+C12</f>
        <v>0</v>
      </c>
      <c r="L12" s="561" t="str">
        <f>IF(K12=Balancesheet!C13,"","Балансын дүнгээс "&amp;K12-Balancesheet!C13&amp;"-ээр зөрүүтэй байна")</f>
        <v/>
      </c>
    </row>
    <row r="13" spans="1:12" ht="25.5">
      <c r="A13" s="562">
        <v>3</v>
      </c>
      <c r="B13" s="650" t="s">
        <v>954</v>
      </c>
      <c r="C13" s="565">
        <f>+Balance!D20</f>
        <v>0</v>
      </c>
      <c r="D13" s="1056"/>
      <c r="E13" s="1056"/>
      <c r="F13" s="1056"/>
      <c r="G13" s="1056"/>
      <c r="H13" s="1056"/>
      <c r="I13" s="1056"/>
      <c r="J13" s="1056"/>
      <c r="K13" s="653">
        <f>SUM(C13,D13,E13,F13,G13,H13,I13,J13)</f>
        <v>0</v>
      </c>
      <c r="L13" s="561" t="str">
        <f>IF(K13=Balancesheet!C14,"","Балансын дүнгээс "&amp;K13-Balancesheet!C14&amp;"-ээр зөрүүтэй байна")</f>
        <v/>
      </c>
    </row>
    <row r="14" spans="1:12">
      <c r="A14" s="562">
        <v>4</v>
      </c>
      <c r="B14" s="650" t="s">
        <v>145</v>
      </c>
      <c r="C14" s="565">
        <f>+Balancesheet!C15</f>
        <v>0</v>
      </c>
      <c r="D14" s="1634" t="s">
        <v>573</v>
      </c>
      <c r="E14" s="1634"/>
      <c r="F14" s="1634"/>
      <c r="G14" s="1634"/>
      <c r="H14" s="1634"/>
      <c r="I14" s="1634"/>
      <c r="J14" s="1634"/>
      <c r="K14" s="653">
        <f>+C14</f>
        <v>0</v>
      </c>
      <c r="L14" s="561" t="str">
        <f>IF(K14=Balancesheet!C15,"","Балансын дүнгээс "&amp;K14-Balancesheet!C15&amp;"-ээр зөрүүтэй байна")</f>
        <v/>
      </c>
    </row>
    <row r="15" spans="1:12">
      <c r="A15" s="562">
        <v>5</v>
      </c>
      <c r="B15" s="650" t="s">
        <v>148</v>
      </c>
      <c r="C15" s="665" t="s">
        <v>573</v>
      </c>
      <c r="D15" s="565"/>
      <c r="E15" s="565"/>
      <c r="F15" s="565"/>
      <c r="G15" s="565"/>
      <c r="H15" s="565"/>
      <c r="I15" s="565"/>
      <c r="J15" s="565"/>
      <c r="K15" s="653">
        <f>SUM(D15,E15,F15,G15,H15,I15,J15)</f>
        <v>0</v>
      </c>
      <c r="L15" s="561" t="str">
        <f>IF(K15=Balancesheet!C16,"","Балансын дүнгээс "&amp;K15-Balancesheet!C16&amp;"-ээр зөрүүтэй байна")</f>
        <v/>
      </c>
    </row>
    <row r="16" spans="1:12" ht="38.25">
      <c r="A16" s="562">
        <v>6</v>
      </c>
      <c r="B16" s="650" t="s">
        <v>150</v>
      </c>
      <c r="C16" s="665" t="s">
        <v>573</v>
      </c>
      <c r="D16" s="664"/>
      <c r="E16" s="664"/>
      <c r="F16" s="664"/>
      <c r="G16" s="664"/>
      <c r="H16" s="664"/>
      <c r="I16" s="664"/>
      <c r="J16" s="664"/>
      <c r="K16" s="653">
        <f>SUM(D16,E16,F16,G16,H16,I16,J16)</f>
        <v>0</v>
      </c>
      <c r="L16" s="561" t="str">
        <f>IF(K16=Balancesheet!C17,"","Балансын дүнгээс "&amp;K16-Balancesheet!C17&amp;"-ээр зөрүүтэй байна")</f>
        <v/>
      </c>
    </row>
    <row r="17" spans="1:12">
      <c r="A17" s="562">
        <v>7</v>
      </c>
      <c r="B17" s="652" t="s">
        <v>414</v>
      </c>
      <c r="C17" s="665" t="s">
        <v>573</v>
      </c>
      <c r="D17" s="1041">
        <f>+'LOAN-PD'!Y18</f>
        <v>0</v>
      </c>
      <c r="E17" s="1041">
        <f>+'LOAN-PD'!Y19</f>
        <v>0</v>
      </c>
      <c r="F17" s="1041">
        <f>+'LOAN-PD'!Y20</f>
        <v>0</v>
      </c>
      <c r="G17" s="1041">
        <f>+'LOAN-PD'!Y21</f>
        <v>0</v>
      </c>
      <c r="H17" s="1041">
        <f>+'LOAN-PD'!Y22</f>
        <v>0</v>
      </c>
      <c r="I17" s="1041">
        <f>+'LOAN-PD'!Y23</f>
        <v>0</v>
      </c>
      <c r="J17" s="1041">
        <f>+'LOAN-PD'!Y24</f>
        <v>0</v>
      </c>
      <c r="K17" s="653">
        <f>SUM(D17,E17,F17,G17,H17,I17,J17)</f>
        <v>0</v>
      </c>
      <c r="L17" s="561" t="str">
        <f>IF(K17=Balancesheet!C19,"","Балансын дүнгээс "&amp;K17-Balancesheet!C19&amp;"-ээр зөрүүтэй байна")</f>
        <v/>
      </c>
    </row>
    <row r="18" spans="1:12">
      <c r="A18" s="562">
        <v>8</v>
      </c>
      <c r="B18" s="650" t="s">
        <v>955</v>
      </c>
      <c r="C18" s="1613" t="s">
        <v>573</v>
      </c>
      <c r="D18" s="1614"/>
      <c r="E18" s="1614"/>
      <c r="F18" s="1614"/>
      <c r="G18" s="1614"/>
      <c r="H18" s="1614"/>
      <c r="I18" s="1614"/>
      <c r="J18" s="1615"/>
      <c r="K18" s="653">
        <f>+Balancesheet!C33</f>
        <v>0</v>
      </c>
      <c r="L18" s="561"/>
    </row>
    <row r="19" spans="1:12">
      <c r="A19" s="562">
        <v>9</v>
      </c>
      <c r="B19" s="650" t="s">
        <v>956</v>
      </c>
      <c r="C19" s="564"/>
      <c r="D19" s="564"/>
      <c r="E19" s="564"/>
      <c r="F19" s="564"/>
      <c r="G19" s="564"/>
      <c r="H19" s="564"/>
      <c r="I19" s="564"/>
      <c r="J19" s="564"/>
      <c r="K19" s="653">
        <f>SUM(C19,D19,E19,F19,G19,H19,I19,J19)</f>
        <v>0</v>
      </c>
      <c r="L19" s="561"/>
    </row>
    <row r="20" spans="1:12" ht="15.75" thickBot="1">
      <c r="A20" s="1617" t="s">
        <v>957</v>
      </c>
      <c r="B20" s="1618"/>
      <c r="C20" s="659">
        <f>SUM(C11:C14,C19)</f>
        <v>0</v>
      </c>
      <c r="D20" s="659">
        <f>SUM(D13,D15:D19)</f>
        <v>0</v>
      </c>
      <c r="E20" s="659">
        <f t="shared" ref="E20:I20" si="0">SUM(E13,E15:E19)</f>
        <v>0</v>
      </c>
      <c r="F20" s="659">
        <f t="shared" si="0"/>
        <v>0</v>
      </c>
      <c r="G20" s="659">
        <f t="shared" si="0"/>
        <v>0</v>
      </c>
      <c r="H20" s="659">
        <f t="shared" si="0"/>
        <v>0</v>
      </c>
      <c r="I20" s="659">
        <f t="shared" si="0"/>
        <v>0</v>
      </c>
      <c r="J20" s="659">
        <f>SUM(J13,J15:J19)</f>
        <v>0</v>
      </c>
      <c r="K20" s="660">
        <f>SUM(K11:K19)</f>
        <v>0</v>
      </c>
      <c r="L20" s="561"/>
    </row>
    <row r="21" spans="1:12" ht="15.75" thickBot="1">
      <c r="A21" s="1619" t="s">
        <v>958</v>
      </c>
      <c r="B21" s="1620"/>
      <c r="C21" s="1620"/>
      <c r="D21" s="1620"/>
      <c r="E21" s="1620"/>
      <c r="F21" s="1620"/>
      <c r="G21" s="1620"/>
      <c r="H21" s="1620"/>
      <c r="I21" s="1620"/>
      <c r="J21" s="1620"/>
      <c r="K21" s="1621"/>
      <c r="L21" s="561"/>
    </row>
    <row r="22" spans="1:12">
      <c r="A22" s="563">
        <v>1</v>
      </c>
      <c r="B22" s="661" t="s">
        <v>959</v>
      </c>
      <c r="C22" s="470">
        <f>Balancesheet!G13</f>
        <v>0</v>
      </c>
      <c r="D22" s="662">
        <f>+Balancesheet!G15</f>
        <v>0</v>
      </c>
      <c r="E22" s="662">
        <f>+Balancesheet!G16</f>
        <v>0</v>
      </c>
      <c r="F22" s="662">
        <f>+Balancesheet!G17</f>
        <v>0</v>
      </c>
      <c r="G22" s="662">
        <f>+Balancesheet!G18</f>
        <v>0</v>
      </c>
      <c r="H22" s="662">
        <f>+Balancesheet!G19</f>
        <v>0</v>
      </c>
      <c r="I22" s="662">
        <f>+Balancesheet!G20</f>
        <v>0</v>
      </c>
      <c r="J22" s="662">
        <f>+Balancesheet!G21</f>
        <v>0</v>
      </c>
      <c r="K22" s="663">
        <f>SUM(C22:J22)</f>
        <v>0</v>
      </c>
      <c r="L22" s="561"/>
    </row>
    <row r="23" spans="1:12" ht="25.5">
      <c r="A23" s="562">
        <v>2</v>
      </c>
      <c r="B23" s="652" t="s">
        <v>425</v>
      </c>
      <c r="C23" s="665" t="s">
        <v>573</v>
      </c>
      <c r="D23" s="564"/>
      <c r="E23" s="564"/>
      <c r="F23" s="564"/>
      <c r="G23" s="564"/>
      <c r="H23" s="564"/>
      <c r="I23" s="564"/>
      <c r="J23" s="564"/>
      <c r="K23" s="653">
        <f>SUM(D23,E23,F23,G23,H23,I23,J23)</f>
        <v>0</v>
      </c>
      <c r="L23" s="561" t="str">
        <f>IF((K23=(Balancesheet!G25+Balancesheet!G28)),"","Балансын дүнгээс "&amp;K23-(Balancesheet!G25+Balancesheet!G28)&amp;"-ээр зөрүүтэй байна")</f>
        <v/>
      </c>
    </row>
    <row r="24" spans="1:12">
      <c r="A24" s="562">
        <v>3</v>
      </c>
      <c r="B24" s="650" t="s">
        <v>956</v>
      </c>
      <c r="C24" s="564"/>
      <c r="D24" s="564"/>
      <c r="E24" s="564"/>
      <c r="F24" s="564"/>
      <c r="G24" s="564"/>
      <c r="H24" s="564"/>
      <c r="I24" s="564"/>
      <c r="J24" s="564"/>
      <c r="K24" s="653">
        <f>SUM(C24,D24,E24,F24,G24,H24,I24,J24)</f>
        <v>0</v>
      </c>
      <c r="L24" s="561" t="str">
        <f>IF((K24=Balancesheet!G37),"","Балансын дүнгээс "&amp;K24-Balancesheet!G37&amp;"-ээр зөрүүтэй байна")</f>
        <v/>
      </c>
    </row>
    <row r="25" spans="1:12">
      <c r="A25" s="1622" t="s">
        <v>960</v>
      </c>
      <c r="B25" s="1623"/>
      <c r="C25" s="651">
        <f>SUM(C22:C24)</f>
        <v>0</v>
      </c>
      <c r="D25" s="651">
        <f t="shared" ref="D25:K25" si="1">SUM(D22:D24)</f>
        <v>0</v>
      </c>
      <c r="E25" s="651">
        <f t="shared" si="1"/>
        <v>0</v>
      </c>
      <c r="F25" s="651">
        <f t="shared" si="1"/>
        <v>0</v>
      </c>
      <c r="G25" s="651">
        <f t="shared" si="1"/>
        <v>0</v>
      </c>
      <c r="H25" s="651">
        <f t="shared" si="1"/>
        <v>0</v>
      </c>
      <c r="I25" s="651">
        <f t="shared" si="1"/>
        <v>0</v>
      </c>
      <c r="J25" s="651">
        <f t="shared" si="1"/>
        <v>0</v>
      </c>
      <c r="K25" s="654">
        <f t="shared" si="1"/>
        <v>0</v>
      </c>
      <c r="L25" s="561"/>
    </row>
    <row r="26" spans="1:12">
      <c r="A26" s="1624" t="s">
        <v>961</v>
      </c>
      <c r="B26" s="1625"/>
      <c r="C26" s="565">
        <f>C20-C25</f>
        <v>0</v>
      </c>
      <c r="D26" s="565">
        <f t="shared" ref="D26:K26" si="2">D20-D25</f>
        <v>0</v>
      </c>
      <c r="E26" s="565">
        <f t="shared" si="2"/>
        <v>0</v>
      </c>
      <c r="F26" s="565">
        <f t="shared" si="2"/>
        <v>0</v>
      </c>
      <c r="G26" s="565">
        <f t="shared" si="2"/>
        <v>0</v>
      </c>
      <c r="H26" s="565">
        <f t="shared" si="2"/>
        <v>0</v>
      </c>
      <c r="I26" s="565">
        <f t="shared" si="2"/>
        <v>0</v>
      </c>
      <c r="J26" s="565">
        <f t="shared" si="2"/>
        <v>0</v>
      </c>
      <c r="K26" s="653">
        <f t="shared" si="2"/>
        <v>0</v>
      </c>
      <c r="L26" s="561"/>
    </row>
    <row r="27" spans="1:12" ht="15.75" thickBot="1">
      <c r="A27" s="1626" t="s">
        <v>962</v>
      </c>
      <c r="B27" s="1627"/>
      <c r="C27" s="657">
        <f>C26</f>
        <v>0</v>
      </c>
      <c r="D27" s="657">
        <f>SUM(C26:D26)</f>
        <v>0</v>
      </c>
      <c r="E27" s="657">
        <f>SUM(C26:E26)</f>
        <v>0</v>
      </c>
      <c r="F27" s="657">
        <f>SUM(C26:F26)</f>
        <v>0</v>
      </c>
      <c r="G27" s="657">
        <f>SUM(C26:G26)</f>
        <v>0</v>
      </c>
      <c r="H27" s="657">
        <f>SUM(C26:H26)</f>
        <v>0</v>
      </c>
      <c r="I27" s="657">
        <f>SUM(C26:I26)</f>
        <v>0</v>
      </c>
      <c r="J27" s="657">
        <f>SUM(C26:J26)</f>
        <v>0</v>
      </c>
      <c r="K27" s="658">
        <f>K26</f>
        <v>0</v>
      </c>
      <c r="L27" s="561"/>
    </row>
    <row r="28" spans="1:12" ht="36" customHeight="1" thickBot="1">
      <c r="A28" s="1628" t="s">
        <v>963</v>
      </c>
      <c r="B28" s="1629"/>
      <c r="C28" s="1042" t="e">
        <f>+C27/Balancesheet!$G$78</f>
        <v>#DIV/0!</v>
      </c>
      <c r="D28" s="944" t="e">
        <f>+D27/Balancesheet!$G$78</f>
        <v>#DIV/0!</v>
      </c>
      <c r="E28" s="944" t="e">
        <f>+E27/Balancesheet!$G$78</f>
        <v>#DIV/0!</v>
      </c>
      <c r="F28" s="944" t="e">
        <f>+F27/Balancesheet!$G$78</f>
        <v>#DIV/0!</v>
      </c>
      <c r="G28" s="944" t="e">
        <f>+G27/Balancesheet!$G$78</f>
        <v>#DIV/0!</v>
      </c>
      <c r="H28" s="944" t="e">
        <f>+H27/Balancesheet!$G$78</f>
        <v>#DIV/0!</v>
      </c>
      <c r="I28" s="944" t="e">
        <f>+I27/Balancesheet!$G$78</f>
        <v>#DIV/0!</v>
      </c>
      <c r="J28" s="944" t="e">
        <f>+J27/Balancesheet!$G$78</f>
        <v>#DIV/0!</v>
      </c>
      <c r="K28" s="945" t="e">
        <f>+K27/Balancesheet!$G$78</f>
        <v>#DIV/0!</v>
      </c>
      <c r="L28" s="561"/>
    </row>
    <row r="29" spans="1:12">
      <c r="A29" s="566"/>
      <c r="B29" s="566" t="s">
        <v>964</v>
      </c>
      <c r="C29" s="566"/>
      <c r="D29" s="566"/>
      <c r="E29" s="566"/>
      <c r="F29" s="566"/>
      <c r="G29" s="566"/>
      <c r="H29" s="566"/>
      <c r="I29" s="566"/>
      <c r="J29" s="566"/>
      <c r="K29" s="566"/>
      <c r="L29" s="1"/>
    </row>
    <row r="30" spans="1:12">
      <c r="A30" s="566"/>
      <c r="B30" s="566"/>
      <c r="C30" s="566"/>
      <c r="D30" s="566"/>
      <c r="E30" s="566"/>
      <c r="F30" s="566"/>
      <c r="G30" s="566"/>
      <c r="H30" s="566"/>
      <c r="I30" s="566"/>
      <c r="J30" s="566"/>
      <c r="K30" s="566"/>
      <c r="L30" s="1"/>
    </row>
    <row r="31" spans="1:12">
      <c r="A31" s="1630" t="s">
        <v>647</v>
      </c>
      <c r="B31" s="1630"/>
      <c r="C31" s="1630"/>
      <c r="D31" s="1630"/>
      <c r="E31" s="1630"/>
      <c r="F31" s="1630"/>
      <c r="G31" s="1630"/>
      <c r="H31" s="1630"/>
      <c r="I31" s="1630"/>
      <c r="J31" s="1630"/>
      <c r="K31" s="1630"/>
      <c r="L31" s="1"/>
    </row>
    <row r="32" spans="1:12">
      <c r="A32" s="1631" t="s">
        <v>965</v>
      </c>
      <c r="B32" s="1631"/>
      <c r="C32" s="1631"/>
      <c r="D32" s="1631"/>
      <c r="E32" s="1631"/>
      <c r="F32" s="1631"/>
      <c r="G32" s="1631"/>
      <c r="H32" s="1631"/>
      <c r="I32" s="1631"/>
      <c r="J32" s="1631"/>
      <c r="K32" s="1631"/>
      <c r="L32" s="1"/>
    </row>
    <row r="33" spans="1:12">
      <c r="A33" s="567" t="s">
        <v>966</v>
      </c>
      <c r="B33" s="567"/>
      <c r="C33" s="567"/>
      <c r="D33" s="567"/>
      <c r="E33" s="567"/>
      <c r="F33" s="567"/>
      <c r="G33" s="567"/>
      <c r="H33" s="567"/>
      <c r="I33" s="567"/>
      <c r="J33" s="567"/>
      <c r="K33" s="666"/>
      <c r="L33" s="1"/>
    </row>
    <row r="34" spans="1:12">
      <c r="A34" s="553"/>
      <c r="B34" s="553"/>
      <c r="C34" s="1632"/>
      <c r="D34" s="1633"/>
      <c r="E34" s="568"/>
      <c r="F34" s="553"/>
      <c r="G34" s="553"/>
      <c r="H34" s="553"/>
      <c r="I34" s="569"/>
      <c r="J34" s="555"/>
      <c r="K34" s="555"/>
      <c r="L34" s="1"/>
    </row>
    <row r="35" spans="1:12">
      <c r="A35" s="1419" t="s">
        <v>111</v>
      </c>
      <c r="B35" s="1419"/>
      <c r="C35" s="1419"/>
      <c r="D35" s="1419"/>
      <c r="E35" s="1419"/>
      <c r="F35" s="1419"/>
      <c r="G35" s="1419"/>
      <c r="H35" s="1419"/>
      <c r="I35" s="1419"/>
      <c r="J35" s="1419"/>
      <c r="K35" s="1419"/>
      <c r="L35" s="1"/>
    </row>
    <row r="36" spans="1:12">
      <c r="A36" s="1616" t="s">
        <v>112</v>
      </c>
      <c r="B36" s="1616"/>
      <c r="C36" s="1616"/>
      <c r="D36" s="1616"/>
      <c r="E36" s="1616"/>
      <c r="F36" s="1616"/>
      <c r="G36" s="1616"/>
      <c r="H36" s="1616"/>
      <c r="I36" s="1616"/>
      <c r="J36" s="1616"/>
      <c r="K36" s="1616"/>
      <c r="L36" s="1"/>
    </row>
    <row r="37" spans="1:12">
      <c r="A37" s="553"/>
      <c r="B37" s="553"/>
      <c r="C37" s="553"/>
      <c r="D37" s="553"/>
      <c r="E37" s="553"/>
      <c r="F37" s="553"/>
      <c r="G37" s="553"/>
      <c r="H37" s="553"/>
      <c r="I37" s="553"/>
      <c r="J37" s="553"/>
      <c r="K37" s="553"/>
      <c r="L37" s="1"/>
    </row>
    <row r="38" spans="1:12">
      <c r="A38" s="553"/>
      <c r="B38" s="553"/>
      <c r="C38" s="553"/>
      <c r="D38" s="1"/>
      <c r="E38" s="40" t="s">
        <v>392</v>
      </c>
      <c r="F38" s="553"/>
      <c r="G38" s="1" t="str">
        <f>+STATISTICS!C112</f>
        <v>/Нэр/</v>
      </c>
      <c r="H38" s="553"/>
      <c r="I38" s="553"/>
      <c r="J38" s="553"/>
      <c r="K38" s="553"/>
      <c r="L38" s="1"/>
    </row>
    <row r="39" spans="1:12">
      <c r="A39" s="1"/>
      <c r="B39" s="1"/>
      <c r="C39" s="1"/>
      <c r="D39" s="1"/>
      <c r="E39" s="42"/>
      <c r="F39" s="1"/>
      <c r="G39" s="1"/>
      <c r="H39" s="1"/>
      <c r="I39" s="1"/>
      <c r="J39" s="1"/>
      <c r="K39" s="1"/>
      <c r="L39" s="1"/>
    </row>
    <row r="40" spans="1:12">
      <c r="A40" s="1"/>
      <c r="B40" s="1"/>
      <c r="C40" s="1"/>
      <c r="D40" s="1"/>
      <c r="E40" s="40" t="s">
        <v>115</v>
      </c>
      <c r="F40" s="1"/>
      <c r="G40" s="1" t="str">
        <f>+STATISTICS!C114</f>
        <v>/Нэр/</v>
      </c>
      <c r="H40" s="1"/>
      <c r="I40" s="1"/>
      <c r="J40" s="1"/>
      <c r="K40" s="1"/>
      <c r="L40" s="1"/>
    </row>
    <row r="41" spans="1:12">
      <c r="A41" s="1"/>
      <c r="B41" s="1"/>
      <c r="C41" s="1"/>
      <c r="D41" s="1"/>
      <c r="E41" s="1"/>
      <c r="F41" s="1"/>
      <c r="G41" s="1"/>
      <c r="H41" s="1"/>
      <c r="I41" s="1"/>
      <c r="J41" s="1"/>
      <c r="K41" s="1"/>
      <c r="L41" s="1"/>
    </row>
    <row r="42" spans="1:12">
      <c r="A42" s="1"/>
      <c r="B42" s="1"/>
      <c r="C42" s="1"/>
      <c r="D42" s="1"/>
      <c r="E42" s="1"/>
      <c r="F42" s="1"/>
      <c r="G42" s="1"/>
      <c r="H42" s="1"/>
      <c r="I42" s="1"/>
      <c r="J42" s="1"/>
      <c r="K42" s="1"/>
      <c r="L42" s="1"/>
    </row>
    <row r="43" spans="1:12">
      <c r="A43" s="1"/>
      <c r="B43" s="1"/>
      <c r="C43" s="1"/>
      <c r="D43" s="1"/>
      <c r="E43" s="1"/>
      <c r="F43" s="1"/>
      <c r="G43" s="1"/>
      <c r="H43" s="1"/>
      <c r="I43" s="1"/>
      <c r="J43" s="1"/>
      <c r="K43" s="1"/>
      <c r="L43" s="1"/>
    </row>
    <row r="44" spans="1:12">
      <c r="A44" s="1"/>
      <c r="B44" s="1"/>
      <c r="C44" s="1"/>
      <c r="D44" s="1"/>
      <c r="E44" s="1"/>
      <c r="F44" s="1"/>
      <c r="G44" s="1"/>
      <c r="H44" s="1"/>
      <c r="I44" s="1"/>
      <c r="J44" s="1"/>
      <c r="K44" s="1"/>
      <c r="L44" s="1"/>
    </row>
    <row r="45" spans="1:12">
      <c r="A45" s="1"/>
      <c r="B45" s="1"/>
      <c r="C45" s="1"/>
      <c r="D45" s="1"/>
      <c r="E45" s="1"/>
      <c r="F45" s="1"/>
      <c r="G45" s="1"/>
      <c r="H45" s="1"/>
      <c r="I45" s="1"/>
      <c r="J45" s="1"/>
      <c r="K45" s="1"/>
      <c r="L45" s="1"/>
    </row>
    <row r="46" spans="1:12">
      <c r="A46" s="1"/>
      <c r="B46" s="1"/>
      <c r="C46" s="1"/>
      <c r="D46" s="1"/>
      <c r="E46" s="1"/>
      <c r="F46" s="1"/>
      <c r="G46" s="1"/>
      <c r="H46" s="1"/>
      <c r="I46" s="1"/>
      <c r="J46" s="1"/>
      <c r="K46" s="1"/>
      <c r="L46" s="1"/>
    </row>
    <row r="47" spans="1:12">
      <c r="A47" s="1"/>
      <c r="B47" s="1"/>
      <c r="C47" s="1"/>
      <c r="D47" s="1"/>
      <c r="E47" s="1"/>
      <c r="F47" s="1"/>
      <c r="G47" s="1"/>
      <c r="H47" s="1"/>
      <c r="I47" s="1"/>
      <c r="J47" s="1"/>
      <c r="K47" s="1"/>
      <c r="L47" s="1"/>
    </row>
    <row r="48" spans="1:12">
      <c r="A48" s="1"/>
      <c r="B48" s="1"/>
      <c r="C48" s="1"/>
      <c r="D48" s="1"/>
      <c r="E48" s="1"/>
      <c r="F48" s="1"/>
      <c r="G48" s="1"/>
      <c r="H48" s="1"/>
      <c r="I48" s="1"/>
      <c r="J48" s="1"/>
      <c r="K48" s="1"/>
      <c r="L48" s="1"/>
    </row>
  </sheetData>
  <sheetProtection algorithmName="SHA-512" hashValue="oGqu8GXTibhcWI4uIfmWZw5vYMRQs8Vyxi7/1oIqniZsZeRMy1jnTNe5PLXUrONXc/52dkmPUwOm8fZ9kFY4CA==" saltValue="svf6x+DuPZUA099vi6OGEA==" spinCount="100000" sheet="1" objects="1" scenarios="1"/>
  <mergeCells count="21">
    <mergeCell ref="D12:J12"/>
    <mergeCell ref="D14:J14"/>
    <mergeCell ref="A10:K10"/>
    <mergeCell ref="D11:J11"/>
    <mergeCell ref="A4:K4"/>
    <mergeCell ref="A5:K5"/>
    <mergeCell ref="A6:K6"/>
    <mergeCell ref="A8:B8"/>
    <mergeCell ref="A9:B9"/>
    <mergeCell ref="C18:J18"/>
    <mergeCell ref="A36:K36"/>
    <mergeCell ref="A20:B20"/>
    <mergeCell ref="A21:K21"/>
    <mergeCell ref="A25:B25"/>
    <mergeCell ref="A26:B26"/>
    <mergeCell ref="A27:B27"/>
    <mergeCell ref="A28:B28"/>
    <mergeCell ref="A31:K31"/>
    <mergeCell ref="A32:K32"/>
    <mergeCell ref="C34:D34"/>
    <mergeCell ref="A35:K35"/>
  </mergeCells>
  <dataValidations count="1">
    <dataValidation type="decimal" showInputMessage="1" showErrorMessage="1" sqref="D23:J24 C19 C24 D16:J17 D19:J19" xr:uid="{57D240BA-6EFB-43B8-85CB-4AC4C820597F}">
      <formula1>0</formula1>
      <formula2>100000000000000</formula2>
    </dataValidation>
  </dataValidations>
  <pageMargins left="0.7" right="0.7" top="0.75" bottom="0.75" header="0.3" footer="0.3"/>
  <pageSetup paperSize="9" scale="6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D0100-D5B6-4318-A704-6A8A3D2311A5}">
  <dimension ref="A1:I43"/>
  <sheetViews>
    <sheetView topLeftCell="A7" workbookViewId="0">
      <selection activeCell="K39" sqref="K39"/>
    </sheetView>
  </sheetViews>
  <sheetFormatPr defaultRowHeight="12.75"/>
  <cols>
    <col min="1" max="1" width="3.28515625" style="180" bestFit="1" customWidth="1"/>
    <col min="2" max="2" width="26.42578125" style="180" customWidth="1"/>
    <col min="3" max="3" width="21" style="180" customWidth="1"/>
    <col min="4" max="4" width="14.140625" style="180" customWidth="1"/>
    <col min="5" max="5" width="11.140625" style="180" customWidth="1"/>
    <col min="6" max="6" width="15.7109375" style="180" customWidth="1"/>
    <col min="7" max="7" width="18.42578125" style="180" customWidth="1"/>
    <col min="8" max="8" width="20" style="180" customWidth="1"/>
    <col min="9" max="16384" width="9.140625" style="180"/>
  </cols>
  <sheetData>
    <row r="1" spans="1:9">
      <c r="A1" s="570"/>
      <c r="B1" s="7"/>
      <c r="C1" s="6"/>
      <c r="D1" s="6"/>
      <c r="E1" s="6"/>
      <c r="F1" s="6"/>
      <c r="G1" s="6"/>
      <c r="H1" s="58" t="s">
        <v>34</v>
      </c>
    </row>
    <row r="2" spans="1:9">
      <c r="A2" s="7"/>
      <c r="B2" s="7"/>
      <c r="C2" s="469"/>
      <c r="D2" s="469"/>
      <c r="E2" s="469"/>
      <c r="F2" s="469"/>
      <c r="G2" s="469"/>
      <c r="H2" s="58" t="s">
        <v>967</v>
      </c>
    </row>
    <row r="3" spans="1:9">
      <c r="A3" s="7"/>
      <c r="B3" s="7"/>
      <c r="C3" s="7"/>
      <c r="D3" s="571"/>
      <c r="E3" s="472"/>
      <c r="F3" s="7"/>
      <c r="G3" s="7"/>
      <c r="H3" s="7"/>
    </row>
    <row r="4" spans="1:9">
      <c r="A4" s="1655" t="s">
        <v>968</v>
      </c>
      <c r="B4" s="1655"/>
      <c r="C4" s="1655"/>
      <c r="D4" s="1655"/>
      <c r="E4" s="1655"/>
      <c r="F4" s="1655"/>
      <c r="G4" s="1655"/>
      <c r="H4" s="1655"/>
    </row>
    <row r="5" spans="1:9">
      <c r="A5" s="1443" t="str">
        <f>+STATISTICS!A5</f>
        <v>ХАДГАЛАМЖ, ЗЭЭЛИЙН ХОРШООНЫ НЭР</v>
      </c>
      <c r="B5" s="1443"/>
      <c r="C5" s="1443"/>
      <c r="D5" s="1443"/>
      <c r="E5" s="1443"/>
      <c r="F5" s="1443"/>
      <c r="G5" s="1443"/>
      <c r="H5" s="1443"/>
    </row>
    <row r="6" spans="1:9">
      <c r="A6" s="1419" t="s">
        <v>38</v>
      </c>
      <c r="B6" s="1419"/>
      <c r="C6" s="1419"/>
      <c r="D6" s="1419"/>
      <c r="E6" s="1419"/>
      <c r="F6" s="1419"/>
      <c r="G6" s="1419"/>
      <c r="H6" s="1419"/>
    </row>
    <row r="7" spans="1:9">
      <c r="A7" s="1595"/>
      <c r="B7" s="1595"/>
      <c r="C7" s="1595"/>
      <c r="D7" s="1595"/>
      <c r="E7" s="1595"/>
      <c r="F7" s="1595"/>
      <c r="G7" s="1595"/>
      <c r="H7" s="1595"/>
    </row>
    <row r="8" spans="1:9" ht="13.5" thickBot="1">
      <c r="A8" s="1597"/>
      <c r="B8" s="1597"/>
      <c r="C8" s="506"/>
      <c r="D8" s="506"/>
      <c r="E8" s="506"/>
      <c r="F8" s="506"/>
      <c r="G8" s="7"/>
      <c r="H8" s="4" t="str">
        <f>[1]BALANCESHEET!H7</f>
        <v>/төгрөгөөр/</v>
      </c>
    </row>
    <row r="9" spans="1:9" ht="13.5" thickBot="1">
      <c r="A9" s="1656" t="s">
        <v>531</v>
      </c>
      <c r="B9" s="1657"/>
      <c r="C9" s="1657"/>
      <c r="D9" s="1657"/>
      <c r="E9" s="1657"/>
      <c r="F9" s="1657"/>
      <c r="G9" s="1658" t="s">
        <v>572</v>
      </c>
      <c r="H9" s="1659"/>
    </row>
    <row r="10" spans="1:9" ht="39" thickBot="1">
      <c r="A10" s="572" t="s">
        <v>39</v>
      </c>
      <c r="B10" s="761" t="s">
        <v>969</v>
      </c>
      <c r="C10" s="761" t="s">
        <v>970</v>
      </c>
      <c r="D10" s="668" t="s">
        <v>971</v>
      </c>
      <c r="E10" s="866" t="s">
        <v>972</v>
      </c>
      <c r="F10" s="761" t="s">
        <v>973</v>
      </c>
      <c r="G10" s="761" t="s">
        <v>974</v>
      </c>
      <c r="H10" s="762" t="s">
        <v>975</v>
      </c>
    </row>
    <row r="11" spans="1:9" ht="13.5" thickBot="1">
      <c r="A11" s="572" t="s">
        <v>592</v>
      </c>
      <c r="B11" s="575" t="s">
        <v>414</v>
      </c>
      <c r="C11" s="576">
        <f>SUM(C12:C14)</f>
        <v>0</v>
      </c>
      <c r="D11" s="667">
        <v>1</v>
      </c>
      <c r="E11" s="577"/>
      <c r="F11" s="576">
        <f>SUM(F12:F14)</f>
        <v>0</v>
      </c>
      <c r="G11" s="578"/>
      <c r="H11" s="579"/>
      <c r="I11" s="301"/>
    </row>
    <row r="12" spans="1:9">
      <c r="A12" s="580">
        <v>1</v>
      </c>
      <c r="B12" s="763" t="s">
        <v>976</v>
      </c>
      <c r="C12" s="581">
        <f>+Balancesheet!C22</f>
        <v>0</v>
      </c>
      <c r="D12" s="867" t="e">
        <f>C12/C11*100%</f>
        <v>#DIV/0!</v>
      </c>
      <c r="E12" s="582">
        <v>0</v>
      </c>
      <c r="F12" s="581">
        <f>C12*E12</f>
        <v>0</v>
      </c>
      <c r="G12" s="1660">
        <f>+Balancesheet!C30</f>
        <v>0</v>
      </c>
      <c r="H12" s="1663">
        <f>G12-F11</f>
        <v>0</v>
      </c>
      <c r="I12" s="583"/>
    </row>
    <row r="13" spans="1:9">
      <c r="A13" s="584">
        <v>2</v>
      </c>
      <c r="B13" s="874" t="s">
        <v>70</v>
      </c>
      <c r="C13" s="585">
        <f>+Balancesheet!C23</f>
        <v>0</v>
      </c>
      <c r="D13" s="868" t="e">
        <f>C13/C11*100%</f>
        <v>#DIV/0!</v>
      </c>
      <c r="E13" s="586">
        <v>0.05</v>
      </c>
      <c r="F13" s="585">
        <f>C13*E13</f>
        <v>0</v>
      </c>
      <c r="G13" s="1661"/>
      <c r="H13" s="1664"/>
      <c r="I13" s="587"/>
    </row>
    <row r="14" spans="1:9">
      <c r="A14" s="588">
        <v>3</v>
      </c>
      <c r="B14" s="875" t="s">
        <v>977</v>
      </c>
      <c r="C14" s="589">
        <f>+Balancesheet!C24</f>
        <v>0</v>
      </c>
      <c r="D14" s="868" t="e">
        <f>C14/C11*100%</f>
        <v>#DIV/0!</v>
      </c>
      <c r="E14" s="586"/>
      <c r="F14" s="589">
        <f>SUM(F15:F17)</f>
        <v>0</v>
      </c>
      <c r="G14" s="1661"/>
      <c r="H14" s="1664"/>
      <c r="I14" s="587"/>
    </row>
    <row r="15" spans="1:9">
      <c r="A15" s="584">
        <v>4</v>
      </c>
      <c r="B15" s="877" t="s">
        <v>978</v>
      </c>
      <c r="C15" s="883">
        <f>+Balancesheet!C25</f>
        <v>0</v>
      </c>
      <c r="D15" s="868" t="e">
        <f>C15/C11*100%</f>
        <v>#DIV/0!</v>
      </c>
      <c r="E15" s="586">
        <v>0.25</v>
      </c>
      <c r="F15" s="585">
        <f>C15*E15</f>
        <v>0</v>
      </c>
      <c r="G15" s="1661"/>
      <c r="H15" s="1664"/>
      <c r="I15" s="587"/>
    </row>
    <row r="16" spans="1:9">
      <c r="A16" s="584">
        <v>5</v>
      </c>
      <c r="B16" s="877" t="s">
        <v>979</v>
      </c>
      <c r="C16" s="883">
        <f>+Balancesheet!C26</f>
        <v>0</v>
      </c>
      <c r="D16" s="868" t="e">
        <f>C16/C11*100%</f>
        <v>#DIV/0!</v>
      </c>
      <c r="E16" s="586">
        <v>0.5</v>
      </c>
      <c r="F16" s="585">
        <f>C16*E16</f>
        <v>0</v>
      </c>
      <c r="G16" s="1661"/>
      <c r="H16" s="1664"/>
      <c r="I16" s="587"/>
    </row>
    <row r="17" spans="1:9" ht="13.5" thickBot="1">
      <c r="A17" s="591">
        <v>6</v>
      </c>
      <c r="B17" s="877" t="s">
        <v>980</v>
      </c>
      <c r="C17" s="883">
        <f>+Balancesheet!C27</f>
        <v>0</v>
      </c>
      <c r="D17" s="869" t="e">
        <f>C17/C11*100%</f>
        <v>#DIV/0!</v>
      </c>
      <c r="E17" s="592">
        <v>1</v>
      </c>
      <c r="F17" s="593">
        <f>C17*E17</f>
        <v>0</v>
      </c>
      <c r="G17" s="1662"/>
      <c r="H17" s="1665"/>
      <c r="I17" s="587"/>
    </row>
    <row r="18" spans="1:9" ht="13.5" thickBot="1">
      <c r="A18" s="572" t="s">
        <v>672</v>
      </c>
      <c r="B18" s="594" t="s">
        <v>981</v>
      </c>
      <c r="C18" s="578">
        <f>SUM(C19:C21)</f>
        <v>0</v>
      </c>
      <c r="D18" s="574">
        <v>1</v>
      </c>
      <c r="E18" s="870"/>
      <c r="F18" s="595">
        <f>SUM(F19:F21)</f>
        <v>0</v>
      </c>
      <c r="G18" s="596"/>
      <c r="H18" s="597"/>
      <c r="I18" s="587"/>
    </row>
    <row r="19" spans="1:9">
      <c r="A19" s="580">
        <v>1</v>
      </c>
      <c r="B19" s="876" t="s">
        <v>982</v>
      </c>
      <c r="C19" s="881"/>
      <c r="D19" s="867" t="e">
        <f>C19/C18*100%</f>
        <v>#DIV/0!</v>
      </c>
      <c r="E19" s="871">
        <v>0</v>
      </c>
      <c r="F19" s="581">
        <f>C19*E19</f>
        <v>0</v>
      </c>
      <c r="G19" s="1660">
        <f>+Balancesheet!C51</f>
        <v>0</v>
      </c>
      <c r="H19" s="1663">
        <f>+F18-G19</f>
        <v>0</v>
      </c>
      <c r="I19" s="587"/>
    </row>
    <row r="20" spans="1:9">
      <c r="A20" s="584">
        <v>2</v>
      </c>
      <c r="B20" s="590" t="s">
        <v>983</v>
      </c>
      <c r="C20" s="882"/>
      <c r="D20" s="868" t="e">
        <f>C20/C18*100%</f>
        <v>#DIV/0!</v>
      </c>
      <c r="E20" s="872">
        <v>0.05</v>
      </c>
      <c r="F20" s="585">
        <f>C20*E20</f>
        <v>0</v>
      </c>
      <c r="G20" s="1661"/>
      <c r="H20" s="1664"/>
      <c r="I20" s="587"/>
    </row>
    <row r="21" spans="1:9">
      <c r="A21" s="584">
        <v>3</v>
      </c>
      <c r="B21" s="590" t="s">
        <v>984</v>
      </c>
      <c r="C21" s="633">
        <f>+SUM(C22:C24)</f>
        <v>0</v>
      </c>
      <c r="D21" s="868" t="e">
        <f>C21/C18*100%</f>
        <v>#DIV/0!</v>
      </c>
      <c r="E21" s="872"/>
      <c r="F21" s="589">
        <f>SUM(F22:F24)</f>
        <v>0</v>
      </c>
      <c r="G21" s="1661"/>
      <c r="H21" s="1664"/>
      <c r="I21" s="587"/>
    </row>
    <row r="22" spans="1:9">
      <c r="A22" s="584">
        <v>4</v>
      </c>
      <c r="B22" s="877" t="s">
        <v>978</v>
      </c>
      <c r="C22" s="879"/>
      <c r="D22" s="868" t="e">
        <f>C22/C18*100%</f>
        <v>#DIV/0!</v>
      </c>
      <c r="E22" s="872">
        <v>0.25</v>
      </c>
      <c r="F22" s="585">
        <f>C22*E22</f>
        <v>0</v>
      </c>
      <c r="G22" s="1661"/>
      <c r="H22" s="1664"/>
    </row>
    <row r="23" spans="1:9">
      <c r="A23" s="584">
        <v>5</v>
      </c>
      <c r="B23" s="877" t="s">
        <v>979</v>
      </c>
      <c r="C23" s="879"/>
      <c r="D23" s="868" t="e">
        <f>C23/C18*100%</f>
        <v>#DIV/0!</v>
      </c>
      <c r="E23" s="872">
        <v>0.5</v>
      </c>
      <c r="F23" s="585">
        <f>C23*E23</f>
        <v>0</v>
      </c>
      <c r="G23" s="1661"/>
      <c r="H23" s="1664"/>
    </row>
    <row r="24" spans="1:9" ht="13.5" thickBot="1">
      <c r="A24" s="591">
        <v>6</v>
      </c>
      <c r="B24" s="878" t="s">
        <v>980</v>
      </c>
      <c r="C24" s="880"/>
      <c r="D24" s="869" t="e">
        <f>C24/C18*100%</f>
        <v>#DIV/0!</v>
      </c>
      <c r="E24" s="873">
        <v>1</v>
      </c>
      <c r="F24" s="593">
        <f>C24*E24</f>
        <v>0</v>
      </c>
      <c r="G24" s="1662"/>
      <c r="H24" s="1665"/>
    </row>
    <row r="25" spans="1:9" ht="13.5" thickBot="1">
      <c r="A25" s="572" t="s">
        <v>673</v>
      </c>
      <c r="B25" s="594" t="s">
        <v>985</v>
      </c>
      <c r="C25" s="578">
        <f>SUM(C26:C28)</f>
        <v>0</v>
      </c>
      <c r="D25" s="574">
        <v>1</v>
      </c>
      <c r="E25" s="870"/>
      <c r="F25" s="595">
        <f>SUM(F26:F28)</f>
        <v>0</v>
      </c>
      <c r="G25" s="596"/>
      <c r="H25" s="597"/>
      <c r="I25" s="561"/>
    </row>
    <row r="26" spans="1:9">
      <c r="A26" s="580">
        <v>1</v>
      </c>
      <c r="B26" s="876" t="s">
        <v>986</v>
      </c>
      <c r="C26" s="881"/>
      <c r="D26" s="867" t="e">
        <f>C26/C25*100%</f>
        <v>#DIV/0!</v>
      </c>
      <c r="E26" s="871">
        <v>0</v>
      </c>
      <c r="F26" s="581">
        <f>C26*E26</f>
        <v>0</v>
      </c>
      <c r="G26" s="1660">
        <f>+Balancesheet!C37</f>
        <v>0</v>
      </c>
      <c r="H26" s="1663">
        <f>+F25-G26</f>
        <v>0</v>
      </c>
    </row>
    <row r="27" spans="1:9">
      <c r="A27" s="584">
        <v>2</v>
      </c>
      <c r="B27" s="590" t="s">
        <v>987</v>
      </c>
      <c r="C27" s="882"/>
      <c r="D27" s="868" t="e">
        <f>C27/C25*100%</f>
        <v>#DIV/0!</v>
      </c>
      <c r="E27" s="872">
        <v>0.05</v>
      </c>
      <c r="F27" s="585">
        <f>C27*E27</f>
        <v>0</v>
      </c>
      <c r="G27" s="1661"/>
      <c r="H27" s="1664"/>
    </row>
    <row r="28" spans="1:9">
      <c r="A28" s="584">
        <v>3</v>
      </c>
      <c r="B28" s="590" t="s">
        <v>988</v>
      </c>
      <c r="C28" s="633">
        <f>+SUM(C29:C31)</f>
        <v>0</v>
      </c>
      <c r="D28" s="868" t="e">
        <f>C28/C25*100%</f>
        <v>#DIV/0!</v>
      </c>
      <c r="E28" s="872"/>
      <c r="F28" s="589">
        <f>SUM(F29:F31)</f>
        <v>0</v>
      </c>
      <c r="G28" s="1661"/>
      <c r="H28" s="1664"/>
    </row>
    <row r="29" spans="1:9">
      <c r="A29" s="584">
        <v>4</v>
      </c>
      <c r="B29" s="877" t="s">
        <v>978</v>
      </c>
      <c r="C29" s="879"/>
      <c r="D29" s="868" t="e">
        <f>C29/C25*100%</f>
        <v>#DIV/0!</v>
      </c>
      <c r="E29" s="872">
        <v>0.25</v>
      </c>
      <c r="F29" s="585">
        <f>C29*E29</f>
        <v>0</v>
      </c>
      <c r="G29" s="1661"/>
      <c r="H29" s="1664"/>
    </row>
    <row r="30" spans="1:9">
      <c r="A30" s="584">
        <v>5</v>
      </c>
      <c r="B30" s="877" t="s">
        <v>979</v>
      </c>
      <c r="C30" s="879"/>
      <c r="D30" s="868" t="e">
        <f>C30/C25*100%</f>
        <v>#DIV/0!</v>
      </c>
      <c r="E30" s="872">
        <v>0.5</v>
      </c>
      <c r="F30" s="585">
        <f>C30*E30</f>
        <v>0</v>
      </c>
      <c r="G30" s="1661"/>
      <c r="H30" s="1664"/>
    </row>
    <row r="31" spans="1:9" ht="13.5" thickBot="1">
      <c r="A31" s="591">
        <v>6</v>
      </c>
      <c r="B31" s="878" t="s">
        <v>980</v>
      </c>
      <c r="C31" s="880"/>
      <c r="D31" s="869" t="e">
        <f>C31/C25*100%</f>
        <v>#DIV/0!</v>
      </c>
      <c r="E31" s="873">
        <v>1</v>
      </c>
      <c r="F31" s="593">
        <f>C31*E31</f>
        <v>0</v>
      </c>
      <c r="G31" s="1662"/>
      <c r="H31" s="1665"/>
    </row>
    <row r="32" spans="1:9" ht="13.5" thickBot="1">
      <c r="A32" s="1666" t="s">
        <v>989</v>
      </c>
      <c r="B32" s="1667"/>
      <c r="C32" s="1667"/>
      <c r="D32" s="1667"/>
      <c r="E32" s="1667"/>
      <c r="F32" s="1667"/>
      <c r="G32" s="1667"/>
      <c r="H32" s="1668"/>
    </row>
    <row r="33" spans="1:8" ht="13.5" thickBot="1">
      <c r="A33" s="760" t="s">
        <v>42</v>
      </c>
      <c r="B33" s="1652" t="s">
        <v>990</v>
      </c>
      <c r="C33" s="1652"/>
      <c r="D33" s="1652"/>
      <c r="E33" s="1652"/>
      <c r="F33" s="1652"/>
      <c r="G33" s="1653">
        <v>0.05</v>
      </c>
      <c r="H33" s="1654"/>
    </row>
    <row r="34" spans="1:8">
      <c r="A34" s="580">
        <v>1</v>
      </c>
      <c r="B34" s="1645" t="s">
        <v>991</v>
      </c>
      <c r="C34" s="1645"/>
      <c r="D34" s="1645"/>
      <c r="E34" s="1645"/>
      <c r="F34" s="1645"/>
      <c r="G34" s="1646" t="e">
        <f>+Balancesheet!C24/Balancesheet!C19</f>
        <v>#DIV/0!</v>
      </c>
      <c r="H34" s="1647"/>
    </row>
    <row r="35" spans="1:8" ht="13.5" thickBot="1">
      <c r="A35" s="599">
        <v>2</v>
      </c>
      <c r="B35" s="1648" t="s">
        <v>992</v>
      </c>
      <c r="C35" s="1648"/>
      <c r="D35" s="1648"/>
      <c r="E35" s="1648"/>
      <c r="F35" s="1648"/>
      <c r="G35" s="1649" t="e">
        <f>IF(G34&lt;G33,"-",VALUE(G34-G33))</f>
        <v>#DIV/0!</v>
      </c>
      <c r="H35" s="1650"/>
    </row>
    <row r="36" spans="1:8">
      <c r="A36" s="40"/>
      <c r="B36" s="40"/>
      <c r="C36" s="40"/>
      <c r="D36" s="40"/>
      <c r="E36" s="40"/>
      <c r="F36" s="40"/>
      <c r="G36" s="40"/>
      <c r="H36" s="40"/>
    </row>
    <row r="37" spans="1:8">
      <c r="A37" s="40"/>
      <c r="B37" s="40"/>
      <c r="C37" s="40"/>
      <c r="D37" s="40"/>
      <c r="E37" s="40"/>
      <c r="F37" s="40"/>
      <c r="G37" s="40"/>
      <c r="H37" s="40"/>
    </row>
    <row r="38" spans="1:8">
      <c r="A38" s="1630" t="s">
        <v>111</v>
      </c>
      <c r="B38" s="1630"/>
      <c r="C38" s="1630"/>
      <c r="D38" s="1630"/>
      <c r="E38" s="1630"/>
      <c r="F38" s="1630"/>
      <c r="G38" s="1630"/>
      <c r="H38" s="1630"/>
    </row>
    <row r="39" spans="1:8">
      <c r="A39" s="1651" t="s">
        <v>112</v>
      </c>
      <c r="B39" s="1651"/>
      <c r="C39" s="1651"/>
      <c r="D39" s="1651"/>
      <c r="E39" s="1651"/>
      <c r="F39" s="1651"/>
      <c r="G39" s="1651"/>
      <c r="H39" s="1651"/>
    </row>
    <row r="40" spans="1:8">
      <c r="A40" s="40"/>
      <c r="B40" s="40"/>
      <c r="C40" s="1644"/>
      <c r="D40" s="1644"/>
      <c r="E40" s="40"/>
      <c r="F40" s="40"/>
      <c r="G40" s="40"/>
      <c r="H40" s="40"/>
    </row>
    <row r="41" spans="1:8">
      <c r="A41" s="40"/>
      <c r="B41" s="40"/>
      <c r="C41" s="40" t="s">
        <v>392</v>
      </c>
      <c r="D41" s="40"/>
      <c r="E41" s="40" t="str">
        <f>+STATISTICS!C112</f>
        <v>/Нэр/</v>
      </c>
      <c r="F41" s="40"/>
      <c r="G41" s="40"/>
      <c r="H41" s="40"/>
    </row>
    <row r="42" spans="1:8">
      <c r="A42" s="40"/>
      <c r="B42" s="40"/>
      <c r="C42" s="42"/>
      <c r="D42" s="42"/>
      <c r="E42" s="40"/>
      <c r="F42" s="40"/>
      <c r="G42" s="40"/>
      <c r="H42" s="40"/>
    </row>
    <row r="43" spans="1:8">
      <c r="A43" s="40"/>
      <c r="B43" s="40"/>
      <c r="C43" s="40" t="s">
        <v>115</v>
      </c>
      <c r="D43" s="40"/>
      <c r="E43" s="40" t="str">
        <f>+STATISTICS!C114</f>
        <v>/Нэр/</v>
      </c>
      <c r="F43" s="40"/>
      <c r="G43" s="40"/>
      <c r="H43" s="40"/>
    </row>
  </sheetData>
  <sheetProtection algorithmName="SHA-512" hashValue="Bue4RxP0Uzh+6PElDLxEDEmi2IgSXaJ1hx+c8eEIT5209ebRqYnxEKXLqQBI1BKKFHXaHvoLXUsz17zd9KbVvA==" saltValue="97wpdc3XcsvWQVMUJhxPbA==" spinCount="100000" sheet="1" objects="1" scenarios="1"/>
  <mergeCells count="23">
    <mergeCell ref="B33:F33"/>
    <mergeCell ref="G33:H33"/>
    <mergeCell ref="A4:H4"/>
    <mergeCell ref="A5:H5"/>
    <mergeCell ref="A6:H6"/>
    <mergeCell ref="A7:H7"/>
    <mergeCell ref="A8:B8"/>
    <mergeCell ref="A9:F9"/>
    <mergeCell ref="G9:H9"/>
    <mergeCell ref="G12:G17"/>
    <mergeCell ref="H12:H17"/>
    <mergeCell ref="G19:G24"/>
    <mergeCell ref="H19:H24"/>
    <mergeCell ref="A32:H32"/>
    <mergeCell ref="G26:G31"/>
    <mergeCell ref="H26:H31"/>
    <mergeCell ref="C40:D40"/>
    <mergeCell ref="B34:F34"/>
    <mergeCell ref="G34:H34"/>
    <mergeCell ref="B35:F35"/>
    <mergeCell ref="G35:H35"/>
    <mergeCell ref="A38:H38"/>
    <mergeCell ref="A39:H39"/>
  </mergeCells>
  <dataValidations count="1">
    <dataValidation type="decimal" allowBlank="1" showInputMessage="1" showErrorMessage="1" sqref="C26:C31 C19:C24" xr:uid="{A1216084-4D31-4BCD-82EF-7B17779BD367}">
      <formula1>0</formula1>
      <formula2>1000000000000000</formula2>
    </dataValidation>
  </dataValidations>
  <pageMargins left="0.7" right="0.7" top="0.75" bottom="0.75" header="0.3" footer="0.3"/>
  <pageSetup paperSize="9" scale="9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9C732-D93C-422C-8CD0-D4B60C9D3855}">
  <dimension ref="A1:C72"/>
  <sheetViews>
    <sheetView topLeftCell="A39" workbookViewId="0">
      <selection activeCell="H29" sqref="H29"/>
    </sheetView>
  </sheetViews>
  <sheetFormatPr defaultRowHeight="12.75"/>
  <cols>
    <col min="1" max="1" width="4" style="180" bestFit="1" customWidth="1"/>
    <col min="2" max="3" width="51.28515625" style="180" customWidth="1"/>
    <col min="4" max="16384" width="9.140625" style="180"/>
  </cols>
  <sheetData>
    <row r="1" spans="1:3">
      <c r="A1" s="7"/>
      <c r="B1" s="6"/>
      <c r="C1" s="58" t="s">
        <v>34</v>
      </c>
    </row>
    <row r="2" spans="1:3">
      <c r="A2" s="7"/>
      <c r="B2" s="469"/>
      <c r="C2" s="58" t="s">
        <v>993</v>
      </c>
    </row>
    <row r="3" spans="1:3">
      <c r="A3" s="7"/>
      <c r="B3" s="7"/>
      <c r="C3" s="7"/>
    </row>
    <row r="4" spans="1:3">
      <c r="A4" s="1655" t="s">
        <v>994</v>
      </c>
      <c r="B4" s="1655"/>
      <c r="C4" s="1655"/>
    </row>
    <row r="5" spans="1:3">
      <c r="A5" s="1443" t="str">
        <f>+STATISTICS!A5</f>
        <v>ХАДГАЛАМЖ, ЗЭЭЛИЙН ХОРШООНЫ НЭР</v>
      </c>
      <c r="B5" s="1443"/>
      <c r="C5" s="1443"/>
    </row>
    <row r="6" spans="1:3">
      <c r="A6" s="1419" t="s">
        <v>38</v>
      </c>
      <c r="B6" s="1419"/>
      <c r="C6" s="1419"/>
    </row>
    <row r="7" spans="1:3">
      <c r="A7" s="5"/>
      <c r="B7" s="5"/>
      <c r="C7" s="5"/>
    </row>
    <row r="8" spans="1:3">
      <c r="A8" s="1669"/>
      <c r="B8" s="1669"/>
      <c r="C8" s="4" t="str">
        <f>[2]BALANCESHEET!H7</f>
        <v>/төгрөгөөр/</v>
      </c>
    </row>
    <row r="9" spans="1:3">
      <c r="A9" s="646" t="s">
        <v>39</v>
      </c>
      <c r="B9" s="600" t="s">
        <v>531</v>
      </c>
      <c r="C9" s="600" t="s">
        <v>572</v>
      </c>
    </row>
    <row r="10" spans="1:3">
      <c r="A10" s="600" t="s">
        <v>671</v>
      </c>
      <c r="B10" s="601" t="s">
        <v>995</v>
      </c>
      <c r="C10" s="598">
        <f>SUM(C11:C12,C14:C20)</f>
        <v>0</v>
      </c>
    </row>
    <row r="11" spans="1:3">
      <c r="A11" s="602">
        <v>1</v>
      </c>
      <c r="B11" s="603" t="s">
        <v>996</v>
      </c>
      <c r="C11" s="604">
        <f>+Balancesheet!C11</f>
        <v>0</v>
      </c>
    </row>
    <row r="12" spans="1:3">
      <c r="A12" s="602">
        <v>2</v>
      </c>
      <c r="B12" s="603" t="s">
        <v>997</v>
      </c>
      <c r="C12" s="604">
        <f>+Balancesheet!C18</f>
        <v>0</v>
      </c>
    </row>
    <row r="13" spans="1:3">
      <c r="A13" s="602">
        <v>3</v>
      </c>
      <c r="B13" s="955" t="s">
        <v>998</v>
      </c>
      <c r="C13" s="604">
        <f>+Balancesheet!C19-Balancesheet!C30</f>
        <v>0</v>
      </c>
    </row>
    <row r="14" spans="1:3">
      <c r="A14" s="602">
        <v>4</v>
      </c>
      <c r="B14" s="603" t="s">
        <v>999</v>
      </c>
      <c r="C14" s="604">
        <f>+Balancesheet!C33</f>
        <v>0</v>
      </c>
    </row>
    <row r="15" spans="1:3">
      <c r="A15" s="602">
        <v>5</v>
      </c>
      <c r="B15" s="603" t="s">
        <v>1000</v>
      </c>
      <c r="C15" s="604">
        <f>+Balancesheet!C41</f>
        <v>0</v>
      </c>
    </row>
    <row r="16" spans="1:3">
      <c r="A16" s="602">
        <v>6</v>
      </c>
      <c r="B16" s="603" t="s">
        <v>1001</v>
      </c>
      <c r="C16" s="604">
        <f>+Balancesheet!C32-Balancesheet!C33-Balancesheet!C41</f>
        <v>0</v>
      </c>
    </row>
    <row r="17" spans="1:3">
      <c r="A17" s="602">
        <v>7</v>
      </c>
      <c r="B17" s="603" t="s">
        <v>1002</v>
      </c>
      <c r="C17" s="604">
        <f>+Balancesheet!C48</f>
        <v>0</v>
      </c>
    </row>
    <row r="18" spans="1:3">
      <c r="A18" s="602">
        <v>8</v>
      </c>
      <c r="B18" s="603" t="s">
        <v>1003</v>
      </c>
      <c r="C18" s="604">
        <f>+Balancesheet!C58</f>
        <v>0</v>
      </c>
    </row>
    <row r="19" spans="1:3">
      <c r="A19" s="602">
        <v>9</v>
      </c>
      <c r="B19" s="603" t="s">
        <v>1004</v>
      </c>
      <c r="C19" s="604">
        <f>+Balancesheet!C62</f>
        <v>0</v>
      </c>
    </row>
    <row r="20" spans="1:3">
      <c r="A20" s="602">
        <v>10</v>
      </c>
      <c r="B20" s="603" t="s">
        <v>241</v>
      </c>
      <c r="C20" s="604">
        <f>+Balancesheet!C43-Balancesheet!C48-Balancesheet!C58-Balancesheet!C62</f>
        <v>0</v>
      </c>
    </row>
    <row r="21" spans="1:3">
      <c r="A21" s="600" t="s">
        <v>672</v>
      </c>
      <c r="B21" s="605" t="s">
        <v>1005</v>
      </c>
      <c r="C21" s="598">
        <f>+SUM(C24:C26,C22,C27,C30)</f>
        <v>0</v>
      </c>
    </row>
    <row r="22" spans="1:3">
      <c r="A22" s="602">
        <v>1</v>
      </c>
      <c r="B22" s="606" t="s">
        <v>139</v>
      </c>
      <c r="C22" s="604">
        <f>+Balancesheet!G11</f>
        <v>0</v>
      </c>
    </row>
    <row r="23" spans="1:3">
      <c r="A23" s="602">
        <v>2</v>
      </c>
      <c r="B23" s="956" t="s">
        <v>398</v>
      </c>
      <c r="C23" s="604">
        <f>+Balancesheet!G12</f>
        <v>0</v>
      </c>
    </row>
    <row r="24" spans="1:3">
      <c r="A24" s="602">
        <v>3</v>
      </c>
      <c r="B24" s="606" t="s">
        <v>1006</v>
      </c>
      <c r="C24" s="604">
        <f>+Balancesheet!G23</f>
        <v>0</v>
      </c>
    </row>
    <row r="25" spans="1:3">
      <c r="A25" s="602">
        <v>4</v>
      </c>
      <c r="B25" s="606" t="s">
        <v>1007</v>
      </c>
      <c r="C25" s="604">
        <f>+Balancesheet!G38</f>
        <v>0</v>
      </c>
    </row>
    <row r="26" spans="1:3">
      <c r="A26" s="602">
        <v>5</v>
      </c>
      <c r="B26" s="606" t="s">
        <v>1008</v>
      </c>
      <c r="C26" s="604">
        <f>+Balancesheet!G44</f>
        <v>0</v>
      </c>
    </row>
    <row r="27" spans="1:3">
      <c r="A27" s="600" t="s">
        <v>673</v>
      </c>
      <c r="B27" s="605" t="s">
        <v>232</v>
      </c>
      <c r="C27" s="598">
        <f>+C28+C29+C30</f>
        <v>0</v>
      </c>
    </row>
    <row r="28" spans="1:3">
      <c r="A28" s="602">
        <v>1</v>
      </c>
      <c r="B28" s="606" t="s">
        <v>1009</v>
      </c>
      <c r="C28" s="604">
        <f>+Balancesheet!G60</f>
        <v>0</v>
      </c>
    </row>
    <row r="29" spans="1:3">
      <c r="A29" s="602">
        <v>2</v>
      </c>
      <c r="B29" s="607" t="s">
        <v>1010</v>
      </c>
      <c r="C29" s="604">
        <f>+Balancesheet!G63</f>
        <v>0</v>
      </c>
    </row>
    <row r="30" spans="1:3">
      <c r="A30" s="600" t="s">
        <v>674</v>
      </c>
      <c r="B30" s="608" t="s">
        <v>520</v>
      </c>
      <c r="C30" s="609">
        <f>+SUM(C31:C36)</f>
        <v>0</v>
      </c>
    </row>
    <row r="31" spans="1:3">
      <c r="A31" s="602">
        <v>1</v>
      </c>
      <c r="B31" s="603" t="s">
        <v>253</v>
      </c>
      <c r="C31" s="604">
        <f>+Balancesheet!G70</f>
        <v>0</v>
      </c>
    </row>
    <row r="32" spans="1:3">
      <c r="A32" s="602">
        <v>2</v>
      </c>
      <c r="B32" s="603" t="s">
        <v>255</v>
      </c>
      <c r="C32" s="604">
        <f>+Balancesheet!G71</f>
        <v>0</v>
      </c>
    </row>
    <row r="33" spans="1:3">
      <c r="A33" s="602">
        <v>3</v>
      </c>
      <c r="B33" s="603" t="s">
        <v>1011</v>
      </c>
      <c r="C33" s="604">
        <f>+Balancesheet!G72</f>
        <v>0</v>
      </c>
    </row>
    <row r="34" spans="1:3">
      <c r="A34" s="602">
        <v>4</v>
      </c>
      <c r="B34" s="603" t="s">
        <v>259</v>
      </c>
      <c r="C34" s="604">
        <f>+Balancesheet!G73</f>
        <v>0</v>
      </c>
    </row>
    <row r="35" spans="1:3">
      <c r="A35" s="602">
        <v>5</v>
      </c>
      <c r="B35" s="603" t="s">
        <v>261</v>
      </c>
      <c r="C35" s="604">
        <f>+Balancesheet!G74</f>
        <v>0</v>
      </c>
    </row>
    <row r="36" spans="1:3">
      <c r="A36" s="602">
        <v>6</v>
      </c>
      <c r="B36" s="603" t="s">
        <v>1012</v>
      </c>
      <c r="C36" s="604">
        <f>+Balancesheet!G75</f>
        <v>0</v>
      </c>
    </row>
    <row r="37" spans="1:3">
      <c r="A37" s="363"/>
      <c r="B37" s="600" t="s">
        <v>989</v>
      </c>
      <c r="C37" s="363"/>
    </row>
    <row r="38" spans="1:3" ht="25.5">
      <c r="A38" s="610" t="s">
        <v>42</v>
      </c>
      <c r="B38" s="601" t="s">
        <v>1013</v>
      </c>
      <c r="C38" s="611" t="s">
        <v>1014</v>
      </c>
    </row>
    <row r="39" spans="1:3">
      <c r="A39" s="612">
        <v>1</v>
      </c>
      <c r="B39" s="606" t="s">
        <v>1015</v>
      </c>
      <c r="C39" s="1000" t="e">
        <f>C13/C10*100%</f>
        <v>#DIV/0!</v>
      </c>
    </row>
    <row r="40" spans="1:3">
      <c r="A40" s="612">
        <v>2</v>
      </c>
      <c r="B40" s="603" t="s">
        <v>1016</v>
      </c>
      <c r="C40" s="1001" t="e">
        <f>IF(C39&gt;0.85,VALUE(C39-0.85),IF(C39&lt;0.6,VALUE(0.6-C39),"-"))</f>
        <v>#DIV/0!</v>
      </c>
    </row>
    <row r="41" spans="1:3" ht="25.5">
      <c r="A41" s="610" t="s">
        <v>61</v>
      </c>
      <c r="B41" s="601" t="s">
        <v>1017</v>
      </c>
      <c r="C41" s="644">
        <v>0.1</v>
      </c>
    </row>
    <row r="42" spans="1:3">
      <c r="A42" s="613">
        <v>1</v>
      </c>
      <c r="B42" s="606" t="s">
        <v>1015</v>
      </c>
      <c r="C42" s="1000" t="e">
        <f>C18/C10*100%</f>
        <v>#DIV/0!</v>
      </c>
    </row>
    <row r="43" spans="1:3">
      <c r="A43" s="612">
        <v>2</v>
      </c>
      <c r="B43" s="606" t="s">
        <v>992</v>
      </c>
      <c r="C43" s="1000" t="e">
        <f>IF(C42&lt;C41,"-", VALUE(C42-C41))</f>
        <v>#DIV/0!</v>
      </c>
    </row>
    <row r="44" spans="1:3" ht="25.5">
      <c r="A44" s="614" t="s">
        <v>79</v>
      </c>
      <c r="B44" s="605" t="s">
        <v>1018</v>
      </c>
      <c r="C44" s="645" t="s">
        <v>1019</v>
      </c>
    </row>
    <row r="45" spans="1:3">
      <c r="A45" s="613">
        <v>1</v>
      </c>
      <c r="B45" s="606" t="s">
        <v>1015</v>
      </c>
      <c r="C45" s="1000" t="e">
        <f>C23/C10*100%</f>
        <v>#DIV/0!</v>
      </c>
    </row>
    <row r="46" spans="1:3">
      <c r="A46" s="612">
        <v>2</v>
      </c>
      <c r="B46" s="606" t="s">
        <v>992</v>
      </c>
      <c r="C46" s="1000" t="e">
        <f>IF(C45&gt;0.8,VALUE(C45-0.8),IF(C45&lt;0.4,VALUE(0.4-C45),"-"))</f>
        <v>#DIV/0!</v>
      </c>
    </row>
    <row r="47" spans="1:3" ht="25.5">
      <c r="A47" s="614" t="s">
        <v>91</v>
      </c>
      <c r="B47" s="601" t="s">
        <v>1020</v>
      </c>
      <c r="C47" s="644">
        <v>0.2</v>
      </c>
    </row>
    <row r="48" spans="1:3">
      <c r="A48" s="602">
        <v>1</v>
      </c>
      <c r="B48" s="606" t="s">
        <v>1015</v>
      </c>
      <c r="C48" s="1002" t="e">
        <f>C24/C10*100%</f>
        <v>#DIV/0!</v>
      </c>
    </row>
    <row r="49" spans="1:3">
      <c r="A49" s="615">
        <v>2</v>
      </c>
      <c r="B49" s="606" t="s">
        <v>992</v>
      </c>
      <c r="C49" s="1000" t="e">
        <f>IF(C48&lt;C47,"-",VALUE(C48-C47))</f>
        <v>#DIV/0!</v>
      </c>
    </row>
    <row r="50" spans="1:3" ht="25.5">
      <c r="A50" s="614" t="s">
        <v>103</v>
      </c>
      <c r="B50" s="601" t="s">
        <v>1021</v>
      </c>
      <c r="C50" s="644">
        <v>0.1</v>
      </c>
    </row>
    <row r="51" spans="1:3">
      <c r="A51" s="613">
        <v>1</v>
      </c>
      <c r="B51" s="603" t="s">
        <v>1015</v>
      </c>
      <c r="C51" s="1003" t="e">
        <f>+'BIG SHARES'!E52</f>
        <v>#DIV/0!</v>
      </c>
    </row>
    <row r="52" spans="1:3">
      <c r="A52" s="612">
        <v>2</v>
      </c>
      <c r="B52" s="603" t="s">
        <v>992</v>
      </c>
      <c r="C52" s="1001" t="e">
        <f>IF(C51&lt;C50,"-",VALUE(C51-C50))</f>
        <v>#DIV/0!</v>
      </c>
    </row>
    <row r="53" spans="1:3">
      <c r="A53" s="646" t="s">
        <v>541</v>
      </c>
      <c r="B53" s="605" t="s">
        <v>1022</v>
      </c>
      <c r="C53" s="645">
        <v>0.03</v>
      </c>
    </row>
    <row r="54" spans="1:3">
      <c r="A54" s="615">
        <v>1</v>
      </c>
      <c r="B54" s="606" t="s">
        <v>1015</v>
      </c>
      <c r="C54" s="1001" t="e">
        <f>C31/C10*100%</f>
        <v>#DIV/0!</v>
      </c>
    </row>
    <row r="55" spans="1:3">
      <c r="A55" s="615">
        <v>2</v>
      </c>
      <c r="B55" s="606" t="s">
        <v>992</v>
      </c>
      <c r="C55" s="1000" t="e">
        <f>IF(C54&gt;C53,"-",VALUE(C53-C54))</f>
        <v>#DIV/0!</v>
      </c>
    </row>
    <row r="56" spans="1:3" ht="25.5">
      <c r="A56" s="646" t="s">
        <v>543</v>
      </c>
      <c r="B56" s="605" t="s">
        <v>1023</v>
      </c>
      <c r="C56" s="645">
        <v>0.05</v>
      </c>
    </row>
    <row r="57" spans="1:3">
      <c r="A57" s="615">
        <v>1</v>
      </c>
      <c r="B57" s="606" t="s">
        <v>1015</v>
      </c>
      <c r="C57" s="1004" t="e">
        <f>+C30/C10</f>
        <v>#DIV/0!</v>
      </c>
    </row>
    <row r="58" spans="1:3">
      <c r="A58" s="615">
        <v>2</v>
      </c>
      <c r="B58" s="606" t="s">
        <v>992</v>
      </c>
      <c r="C58" s="1000" t="e">
        <f>IF(C57&gt;C56,"-",VALUE(C56-C57))</f>
        <v>#DIV/0!</v>
      </c>
    </row>
    <row r="59" spans="1:3" ht="25.5">
      <c r="A59" s="646" t="s">
        <v>545</v>
      </c>
      <c r="B59" s="605" t="s">
        <v>1024</v>
      </c>
      <c r="C59" s="645">
        <v>0.05</v>
      </c>
    </row>
    <row r="60" spans="1:3">
      <c r="A60" s="615">
        <v>1</v>
      </c>
      <c r="B60" s="606" t="s">
        <v>1015</v>
      </c>
      <c r="C60" s="1001" t="e">
        <f>C33/C30*100%</f>
        <v>#DIV/0!</v>
      </c>
    </row>
    <row r="61" spans="1:3">
      <c r="A61" s="615">
        <v>2</v>
      </c>
      <c r="B61" s="606" t="s">
        <v>992</v>
      </c>
      <c r="C61" s="1000" t="e">
        <f>IF(C60&gt;C59,"-",VALUE(C59-C60))</f>
        <v>#DIV/0!</v>
      </c>
    </row>
    <row r="62" spans="1:3" ht="25.5">
      <c r="A62" s="646" t="s">
        <v>548</v>
      </c>
      <c r="B62" s="605" t="s">
        <v>1025</v>
      </c>
      <c r="C62" s="645">
        <v>0.05</v>
      </c>
    </row>
    <row r="63" spans="1:3">
      <c r="A63" s="615">
        <v>1</v>
      </c>
      <c r="B63" s="606" t="s">
        <v>1015</v>
      </c>
      <c r="C63" s="1001" t="e">
        <f>C32/C30*100%</f>
        <v>#DIV/0!</v>
      </c>
    </row>
    <row r="64" spans="1:3">
      <c r="A64" s="615">
        <v>2</v>
      </c>
      <c r="B64" s="606" t="s">
        <v>992</v>
      </c>
      <c r="C64" s="1000" t="e">
        <f>IF(C63&gt;C62,"-",VALUE(C62-C63))</f>
        <v>#DIV/0!</v>
      </c>
    </row>
    <row r="67" spans="1:3">
      <c r="A67" s="1509" t="s">
        <v>111</v>
      </c>
      <c r="B67" s="1509"/>
      <c r="C67" s="1509"/>
    </row>
    <row r="68" spans="1:3">
      <c r="A68" s="1374" t="s">
        <v>112</v>
      </c>
      <c r="B68" s="1374"/>
      <c r="C68" s="1374"/>
    </row>
    <row r="70" spans="1:3">
      <c r="B70" s="40" t="s">
        <v>392</v>
      </c>
      <c r="C70" s="40" t="str">
        <f>+STATISTICS!C112</f>
        <v>/Нэр/</v>
      </c>
    </row>
    <row r="71" spans="1:3">
      <c r="B71" s="42"/>
      <c r="C71" s="40"/>
    </row>
    <row r="72" spans="1:3">
      <c r="B72" s="40" t="s">
        <v>115</v>
      </c>
      <c r="C72" s="40" t="str">
        <f>+STATISTICS!C114</f>
        <v>/Нэр/</v>
      </c>
    </row>
  </sheetData>
  <sheetProtection algorithmName="SHA-512" hashValue="sBNXCh/V3NE+lAKiYnGpFYJ2FPqoNdIgiMCrlpzwK9NHJlJyJqtbCSo33cQNY00KGqzIjVmCKMKNMNOBVKZ7hQ==" saltValue="i008lgkVaDUO7mdBA4tQvg==" spinCount="100000" sheet="1" objects="1" scenarios="1"/>
  <mergeCells count="6">
    <mergeCell ref="A68:C68"/>
    <mergeCell ref="A4:C4"/>
    <mergeCell ref="A5:C5"/>
    <mergeCell ref="A6:C6"/>
    <mergeCell ref="A8:B8"/>
    <mergeCell ref="A67:C67"/>
  </mergeCells>
  <pageMargins left="0.7" right="0.7" top="0.75" bottom="0.75" header="0.3" footer="0.3"/>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F1E9-BF5D-428E-893B-71B7FBA677FE}">
  <dimension ref="A1:C44"/>
  <sheetViews>
    <sheetView topLeftCell="A6" workbookViewId="0">
      <selection activeCell="K24" sqref="K24"/>
    </sheetView>
  </sheetViews>
  <sheetFormatPr defaultColWidth="9.28515625" defaultRowHeight="12.75"/>
  <cols>
    <col min="1" max="1" width="4" style="180" bestFit="1" customWidth="1"/>
    <col min="2" max="2" width="51.28515625" style="180" customWidth="1"/>
    <col min="3" max="3" width="41" style="180" customWidth="1"/>
    <col min="4" max="16384" width="9.28515625" style="180"/>
  </cols>
  <sheetData>
    <row r="1" spans="1:3">
      <c r="A1" s="7"/>
      <c r="B1" s="7"/>
      <c r="C1" s="58" t="s">
        <v>34</v>
      </c>
    </row>
    <row r="2" spans="1:3">
      <c r="A2" s="7"/>
      <c r="B2" s="7"/>
      <c r="C2" s="58" t="s">
        <v>1026</v>
      </c>
    </row>
    <row r="3" spans="1:3">
      <c r="A3" s="7"/>
      <c r="B3" s="7"/>
      <c r="C3" s="7"/>
    </row>
    <row r="4" spans="1:3">
      <c r="A4" s="1655" t="s">
        <v>1027</v>
      </c>
      <c r="B4" s="1655"/>
      <c r="C4" s="1655"/>
    </row>
    <row r="5" spans="1:3">
      <c r="A5" s="1443" t="str">
        <f>+STATISTICS!A5</f>
        <v>ХАДГАЛАМЖ, ЗЭЭЛИЙН ХОРШООНЫ НЭР</v>
      </c>
      <c r="B5" s="1443"/>
      <c r="C5" s="1443"/>
    </row>
    <row r="6" spans="1:3">
      <c r="A6" s="1419" t="s">
        <v>38</v>
      </c>
      <c r="B6" s="1419"/>
      <c r="C6" s="1419"/>
    </row>
    <row r="7" spans="1:3">
      <c r="A7" s="7"/>
      <c r="B7" s="29"/>
      <c r="C7" s="29"/>
    </row>
    <row r="8" spans="1:3">
      <c r="A8" s="1597"/>
      <c r="B8" s="1597"/>
      <c r="C8" s="4" t="str">
        <f>[2]BALANCESHEET!H7</f>
        <v>/төгрөгөөр/</v>
      </c>
    </row>
    <row r="9" spans="1:3">
      <c r="A9" s="363" t="s">
        <v>39</v>
      </c>
      <c r="B9" s="600" t="s">
        <v>531</v>
      </c>
      <c r="C9" s="600" t="s">
        <v>572</v>
      </c>
    </row>
    <row r="10" spans="1:3">
      <c r="A10" s="616" t="s">
        <v>671</v>
      </c>
      <c r="B10" s="617" t="s">
        <v>1028</v>
      </c>
      <c r="C10" s="618">
        <f>C11-C12</f>
        <v>0</v>
      </c>
    </row>
    <row r="11" spans="1:3">
      <c r="A11" s="619">
        <v>1</v>
      </c>
      <c r="B11" s="606" t="s">
        <v>268</v>
      </c>
      <c r="C11" s="620">
        <f>+INCOME!C11</f>
        <v>0</v>
      </c>
    </row>
    <row r="12" spans="1:3">
      <c r="A12" s="619">
        <v>2</v>
      </c>
      <c r="B12" s="606" t="s">
        <v>305</v>
      </c>
      <c r="C12" s="620">
        <f>+INCOME!C18</f>
        <v>0</v>
      </c>
    </row>
    <row r="13" spans="1:3">
      <c r="A13" s="621" t="s">
        <v>672</v>
      </c>
      <c r="B13" s="643" t="s">
        <v>275</v>
      </c>
      <c r="C13" s="622">
        <f>+INCOME!C30+INCOME!C36</f>
        <v>0</v>
      </c>
    </row>
    <row r="14" spans="1:3">
      <c r="A14" s="621" t="s">
        <v>673</v>
      </c>
      <c r="B14" s="643" t="s">
        <v>1029</v>
      </c>
      <c r="C14" s="622">
        <f>+INCOME!C47+INCOME!C85+INCOME!C25</f>
        <v>0</v>
      </c>
    </row>
    <row r="15" spans="1:3">
      <c r="A15" s="621" t="s">
        <v>674</v>
      </c>
      <c r="B15" s="643" t="s">
        <v>1030</v>
      </c>
      <c r="C15" s="620">
        <f>+INCOME!C100</f>
        <v>0</v>
      </c>
    </row>
    <row r="16" spans="1:3">
      <c r="A16" s="621" t="s">
        <v>675</v>
      </c>
      <c r="B16" s="643" t="s">
        <v>315</v>
      </c>
      <c r="C16" s="620">
        <f>+INCOME!C47</f>
        <v>0</v>
      </c>
    </row>
    <row r="17" spans="1:3">
      <c r="A17" s="619" t="s">
        <v>676</v>
      </c>
      <c r="B17" s="643" t="s">
        <v>1031</v>
      </c>
      <c r="C17" s="620">
        <f>+Balancesheet!C78</f>
        <v>0</v>
      </c>
    </row>
    <row r="18" spans="1:3">
      <c r="A18" s="621" t="s">
        <v>1032</v>
      </c>
      <c r="B18" s="623" t="s">
        <v>311</v>
      </c>
      <c r="C18" s="620">
        <f>+INCOME!C25</f>
        <v>0</v>
      </c>
    </row>
    <row r="19" spans="1:3">
      <c r="A19" s="621" t="s">
        <v>1033</v>
      </c>
      <c r="B19" s="623" t="s">
        <v>1034</v>
      </c>
      <c r="C19" s="620">
        <f>+INCOME!C26</f>
        <v>0</v>
      </c>
    </row>
    <row r="20" spans="1:3">
      <c r="A20" s="624" t="s">
        <v>1035</v>
      </c>
      <c r="B20" s="643" t="s">
        <v>1036</v>
      </c>
      <c r="C20" s="620">
        <f>+Balancesheet!C14+Balancesheet!C19</f>
        <v>0</v>
      </c>
    </row>
    <row r="21" spans="1:3">
      <c r="A21" s="621" t="s">
        <v>1037</v>
      </c>
      <c r="B21" s="643" t="s">
        <v>1038</v>
      </c>
      <c r="C21" s="620">
        <f>+Balancesheet!G60</f>
        <v>0</v>
      </c>
    </row>
    <row r="22" spans="1:3">
      <c r="A22" s="621" t="s">
        <v>1039</v>
      </c>
      <c r="B22" s="643" t="s">
        <v>414</v>
      </c>
      <c r="C22" s="620">
        <f>+Balancesheet!C19</f>
        <v>0</v>
      </c>
    </row>
    <row r="23" spans="1:3" ht="13.5">
      <c r="A23" s="625"/>
      <c r="B23" s="600" t="s">
        <v>1040</v>
      </c>
      <c r="C23" s="626"/>
    </row>
    <row r="24" spans="1:3" ht="25.5">
      <c r="A24" s="616" t="s">
        <v>42</v>
      </c>
      <c r="B24" s="617" t="s">
        <v>1041</v>
      </c>
      <c r="C24" s="627">
        <v>0.1</v>
      </c>
    </row>
    <row r="25" spans="1:3">
      <c r="A25" s="619">
        <v>1</v>
      </c>
      <c r="B25" s="606" t="s">
        <v>1015</v>
      </c>
      <c r="C25" s="943" t="e">
        <f>+C16/C17</f>
        <v>#DIV/0!</v>
      </c>
    </row>
    <row r="26" spans="1:3">
      <c r="A26" s="628">
        <v>2</v>
      </c>
      <c r="B26" s="606" t="s">
        <v>992</v>
      </c>
      <c r="C26" s="943" t="e">
        <f>IF(C25&lt;C24,"-",VALUE(C25-C24))</f>
        <v>#DIV/0!</v>
      </c>
    </row>
    <row r="27" spans="1:3">
      <c r="A27" s="629" t="s">
        <v>61</v>
      </c>
      <c r="B27" s="1670" t="s">
        <v>1042</v>
      </c>
      <c r="C27" s="1670"/>
    </row>
    <row r="28" spans="1:3">
      <c r="A28" s="612">
        <v>1</v>
      </c>
      <c r="B28" s="606" t="s">
        <v>1043</v>
      </c>
      <c r="C28" s="942" t="e">
        <f>+C15/C17</f>
        <v>#DIV/0!</v>
      </c>
    </row>
    <row r="29" spans="1:3">
      <c r="A29" s="624" t="s">
        <v>79</v>
      </c>
      <c r="B29" s="617" t="s">
        <v>1044</v>
      </c>
      <c r="C29" s="630" t="e">
        <f>C11/C17</f>
        <v>#DIV/0!</v>
      </c>
    </row>
    <row r="30" spans="1:3">
      <c r="A30" s="624" t="s">
        <v>91</v>
      </c>
      <c r="B30" s="617" t="s">
        <v>1045</v>
      </c>
      <c r="C30" s="630" t="e">
        <f>C12/C17</f>
        <v>#DIV/0!</v>
      </c>
    </row>
    <row r="31" spans="1:3">
      <c r="A31" s="624" t="s">
        <v>103</v>
      </c>
      <c r="B31" s="617" t="s">
        <v>1046</v>
      </c>
      <c r="C31" s="630" t="e">
        <f>C10/C17</f>
        <v>#DIV/0!</v>
      </c>
    </row>
    <row r="32" spans="1:3">
      <c r="A32" s="624" t="s">
        <v>541</v>
      </c>
      <c r="B32" s="617" t="s">
        <v>1047</v>
      </c>
      <c r="C32" s="630" t="e">
        <f>C13/C17</f>
        <v>#DIV/0!</v>
      </c>
    </row>
    <row r="33" spans="1:3">
      <c r="A33" s="624" t="s">
        <v>543</v>
      </c>
      <c r="B33" s="617" t="s">
        <v>1048</v>
      </c>
      <c r="C33" s="630" t="e">
        <f>C14/C17</f>
        <v>#DIV/0!</v>
      </c>
    </row>
    <row r="34" spans="1:3">
      <c r="A34" s="624" t="s">
        <v>545</v>
      </c>
      <c r="B34" s="617" t="s">
        <v>1049</v>
      </c>
      <c r="C34" s="630" t="e">
        <f>C18/C17</f>
        <v>#DIV/0!</v>
      </c>
    </row>
    <row r="35" spans="1:3">
      <c r="A35" s="624" t="s">
        <v>548</v>
      </c>
      <c r="B35" s="617" t="s">
        <v>1050</v>
      </c>
      <c r="C35" s="630" t="e">
        <f>C11/C20</f>
        <v>#DIV/0!</v>
      </c>
    </row>
    <row r="36" spans="1:3">
      <c r="A36" s="624" t="s">
        <v>1051</v>
      </c>
      <c r="B36" s="643" t="s">
        <v>1052</v>
      </c>
      <c r="C36" s="630" t="e">
        <f>C19/C22</f>
        <v>#DIV/0!</v>
      </c>
    </row>
    <row r="39" spans="1:3">
      <c r="A39" s="1509" t="s">
        <v>111</v>
      </c>
      <c r="B39" s="1374"/>
      <c r="C39" s="1374"/>
    </row>
    <row r="40" spans="1:3">
      <c r="A40" s="1374" t="s">
        <v>112</v>
      </c>
      <c r="B40" s="1374"/>
      <c r="C40" s="1374"/>
    </row>
    <row r="42" spans="1:3">
      <c r="B42" s="40" t="s">
        <v>392</v>
      </c>
      <c r="C42" s="180" t="str">
        <f>+STATISTICS!C112</f>
        <v>/Нэр/</v>
      </c>
    </row>
    <row r="43" spans="1:3">
      <c r="B43" s="42"/>
    </row>
    <row r="44" spans="1:3">
      <c r="B44" s="40" t="s">
        <v>115</v>
      </c>
      <c r="C44" s="180" t="str">
        <f>+STATISTICS!C114</f>
        <v>/Нэр/</v>
      </c>
    </row>
  </sheetData>
  <sheetProtection algorithmName="SHA-512" hashValue="zt2z6Oa6oeJLg7doxyK6WXUdBmRK5XIlJ3/HOyEO0UKd0v2dLeWaBcGgnj1OIP9wXJOVUicGi9OBF5H5NdJE+Q==" saltValue="ruZRKAYH85LpPGpKZWmCWQ==" spinCount="100000" sheet="1" objects="1" scenarios="1"/>
  <mergeCells count="7">
    <mergeCell ref="A40:C40"/>
    <mergeCell ref="A4:C4"/>
    <mergeCell ref="A5:C5"/>
    <mergeCell ref="A6:C6"/>
    <mergeCell ref="A8:B8"/>
    <mergeCell ref="B27:C27"/>
    <mergeCell ref="A39:C39"/>
  </mergeCells>
  <pageMargins left="0.7" right="0.7" top="0.75" bottom="0.75" header="0.3" footer="0.3"/>
  <pageSetup paperSize="9" scale="90" orientation="portrait" r:id="rId1"/>
  <ignoredErrors>
    <ignoredError sqref="C29" evalError="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43AB-860A-497F-B3A4-A3E02A01CAB6}">
  <dimension ref="A1:C27"/>
  <sheetViews>
    <sheetView topLeftCell="A4" zoomScale="150" zoomScaleNormal="150" workbookViewId="0">
      <selection activeCell="F19" sqref="F19"/>
    </sheetView>
  </sheetViews>
  <sheetFormatPr defaultRowHeight="12.75"/>
  <cols>
    <col min="1" max="1" width="3.5703125" style="180" bestFit="1" customWidth="1"/>
    <col min="2" max="2" width="61.140625" style="180" customWidth="1"/>
    <col min="3" max="3" width="43.28515625" style="180" customWidth="1"/>
    <col min="4" max="16384" width="9.140625" style="180"/>
  </cols>
  <sheetData>
    <row r="1" spans="1:3">
      <c r="A1" s="7"/>
      <c r="B1" s="6"/>
      <c r="C1" s="58" t="s">
        <v>34</v>
      </c>
    </row>
    <row r="2" spans="1:3">
      <c r="A2" s="7"/>
      <c r="B2" s="469"/>
      <c r="C2" s="58" t="s">
        <v>1053</v>
      </c>
    </row>
    <row r="3" spans="1:3">
      <c r="A3" s="7"/>
      <c r="B3" s="7"/>
      <c r="C3" s="7"/>
    </row>
    <row r="4" spans="1:3">
      <c r="A4" s="1655" t="s">
        <v>1054</v>
      </c>
      <c r="B4" s="1655"/>
      <c r="C4" s="1655"/>
    </row>
    <row r="5" spans="1:3">
      <c r="A5" s="1443" t="str">
        <f>+STATISTICS!A5</f>
        <v>ХАДГАЛАМЖ, ЗЭЭЛИЙН ХОРШООНЫ НЭР</v>
      </c>
      <c r="B5" s="1443"/>
      <c r="C5" s="1443"/>
    </row>
    <row r="6" spans="1:3">
      <c r="A6" s="1419" t="s">
        <v>38</v>
      </c>
      <c r="B6" s="1419"/>
      <c r="C6" s="1419"/>
    </row>
    <row r="7" spans="1:3">
      <c r="A7" s="7"/>
      <c r="B7" s="29"/>
      <c r="C7" s="29"/>
    </row>
    <row r="8" spans="1:3">
      <c r="A8" s="1597"/>
      <c r="B8" s="1597"/>
      <c r="C8" s="4" t="str">
        <f>[2]BALANCESHEET!H7</f>
        <v>/төгрөгөөр/</v>
      </c>
    </row>
    <row r="9" spans="1:3">
      <c r="A9" s="646" t="s">
        <v>39</v>
      </c>
      <c r="B9" s="600" t="s">
        <v>531</v>
      </c>
      <c r="C9" s="600" t="s">
        <v>572</v>
      </c>
    </row>
    <row r="10" spans="1:3">
      <c r="A10" s="600" t="s">
        <v>671</v>
      </c>
      <c r="B10" s="605" t="s">
        <v>1055</v>
      </c>
      <c r="C10" s="669">
        <f>SUM(C11:C12)</f>
        <v>0</v>
      </c>
    </row>
    <row r="11" spans="1:3">
      <c r="A11" s="602">
        <v>1</v>
      </c>
      <c r="B11" s="603" t="s">
        <v>1056</v>
      </c>
      <c r="C11" s="670">
        <f>+Balancesheet!C11</f>
        <v>0</v>
      </c>
    </row>
    <row r="12" spans="1:3">
      <c r="A12" s="602">
        <v>2</v>
      </c>
      <c r="B12" s="671" t="s">
        <v>1057</v>
      </c>
      <c r="C12" s="670">
        <f>+ALM!D17</f>
        <v>0</v>
      </c>
    </row>
    <row r="13" spans="1:3">
      <c r="A13" s="600" t="s">
        <v>672</v>
      </c>
      <c r="B13" s="601" t="s">
        <v>1058</v>
      </c>
      <c r="C13" s="669">
        <f>SUM(C14:C15)</f>
        <v>0</v>
      </c>
    </row>
    <row r="14" spans="1:3">
      <c r="A14" s="602">
        <v>1</v>
      </c>
      <c r="B14" s="607" t="s">
        <v>127</v>
      </c>
      <c r="C14" s="670">
        <f>+Balancesheet!G13</f>
        <v>0</v>
      </c>
    </row>
    <row r="15" spans="1:3">
      <c r="A15" s="602">
        <v>2</v>
      </c>
      <c r="B15" s="607" t="s">
        <v>132</v>
      </c>
      <c r="C15" s="670">
        <f>+Balancesheet!G14</f>
        <v>0</v>
      </c>
    </row>
    <row r="16" spans="1:3">
      <c r="A16" s="672"/>
      <c r="B16" s="600" t="s">
        <v>989</v>
      </c>
      <c r="C16" s="363"/>
    </row>
    <row r="17" spans="1:3" ht="25.5">
      <c r="A17" s="600" t="s">
        <v>673</v>
      </c>
      <c r="B17" s="605" t="s">
        <v>1059</v>
      </c>
      <c r="C17" s="645">
        <v>0.1</v>
      </c>
    </row>
    <row r="18" spans="1:3">
      <c r="A18" s="613">
        <v>1</v>
      </c>
      <c r="B18" s="603" t="s">
        <v>1060</v>
      </c>
      <c r="C18" s="941" t="e">
        <f>(C10)/(C13)</f>
        <v>#DIV/0!</v>
      </c>
    </row>
    <row r="19" spans="1:3">
      <c r="A19" s="602">
        <v>2</v>
      </c>
      <c r="B19" s="606" t="s">
        <v>1061</v>
      </c>
      <c r="C19" s="641" t="e">
        <f>IF(C18&gt;C17,"-",VALUE(C17-C18))</f>
        <v>#DIV/0!</v>
      </c>
    </row>
    <row r="22" spans="1:3">
      <c r="A22" s="1509" t="s">
        <v>111</v>
      </c>
      <c r="B22" s="1509"/>
      <c r="C22" s="1509"/>
    </row>
    <row r="23" spans="1:3">
      <c r="A23" s="1374" t="s">
        <v>112</v>
      </c>
      <c r="B23" s="1374"/>
      <c r="C23" s="1374"/>
    </row>
    <row r="25" spans="1:3">
      <c r="B25" s="40" t="s">
        <v>392</v>
      </c>
      <c r="C25" s="180" t="str">
        <f>+STATISTICS!C112</f>
        <v>/Нэр/</v>
      </c>
    </row>
    <row r="26" spans="1:3">
      <c r="B26" s="42"/>
    </row>
    <row r="27" spans="1:3">
      <c r="B27" s="40" t="s">
        <v>115</v>
      </c>
      <c r="C27" s="180" t="str">
        <f>+STATISTICS!C114</f>
        <v>/Нэр/</v>
      </c>
    </row>
  </sheetData>
  <sheetProtection algorithmName="SHA-512" hashValue="gmf8I5Ax0XDk8FY9i8qG+xkn03ynadxHAH6lrzI+XHStvhx3ruWbm9pMXovrSm5JVS3Boflhmf5lsVV6W9dZQg==" saltValue="wOgpi3iQ4AhhsaSEMBvIwQ==" spinCount="100000" sheet="1" objects="1" scenarios="1"/>
  <mergeCells count="6">
    <mergeCell ref="A23:C23"/>
    <mergeCell ref="A4:C4"/>
    <mergeCell ref="A5:C5"/>
    <mergeCell ref="A6:C6"/>
    <mergeCell ref="A8:B8"/>
    <mergeCell ref="A22:C22"/>
  </mergeCells>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EB4B4-B88E-415C-AA96-C149523622B2}">
  <dimension ref="A1:H41"/>
  <sheetViews>
    <sheetView workbookViewId="0">
      <selection activeCell="G24" sqref="G24"/>
    </sheetView>
  </sheetViews>
  <sheetFormatPr defaultColWidth="9.28515625" defaultRowHeight="12.75"/>
  <cols>
    <col min="1" max="1" width="3.28515625" style="180" bestFit="1" customWidth="1"/>
    <col min="2" max="2" width="48.85546875" style="679" customWidth="1"/>
    <col min="3" max="3" width="22.42578125" style="248" customWidth="1"/>
    <col min="4" max="5" width="24.42578125" style="180" customWidth="1"/>
    <col min="6" max="7" width="9.28515625" style="180"/>
    <col min="8" max="8" width="7" style="180" bestFit="1" customWidth="1"/>
    <col min="9" max="16384" width="9.28515625" style="180"/>
  </cols>
  <sheetData>
    <row r="1" spans="1:8">
      <c r="A1" s="7"/>
      <c r="B1" s="29"/>
      <c r="C1" s="503"/>
      <c r="D1" s="58" t="s">
        <v>34</v>
      </c>
      <c r="E1" s="58"/>
    </row>
    <row r="2" spans="1:8">
      <c r="A2" s="7"/>
      <c r="B2" s="29"/>
      <c r="C2" s="503"/>
      <c r="D2" s="58" t="s">
        <v>1062</v>
      </c>
      <c r="E2" s="58"/>
    </row>
    <row r="3" spans="1:8">
      <c r="A3" s="7"/>
      <c r="B3" s="29"/>
      <c r="C3" s="503"/>
      <c r="D3" s="7"/>
      <c r="E3" s="7"/>
    </row>
    <row r="4" spans="1:8">
      <c r="A4" s="1630" t="s">
        <v>1063</v>
      </c>
      <c r="B4" s="1630"/>
      <c r="C4" s="1630"/>
      <c r="D4" s="1630"/>
      <c r="E4" s="1066"/>
    </row>
    <row r="5" spans="1:8">
      <c r="A5" s="1420" t="str">
        <f>+STATISTICS!A5</f>
        <v>ХАДГАЛАМЖ, ЗЭЭЛИЙН ХОРШООНЫ НЭР</v>
      </c>
      <c r="B5" s="1420"/>
      <c r="C5" s="1420"/>
      <c r="D5" s="1420"/>
      <c r="E5" s="1065"/>
    </row>
    <row r="6" spans="1:8">
      <c r="A6" s="1419" t="s">
        <v>38</v>
      </c>
      <c r="B6" s="1419"/>
      <c r="C6" s="1419"/>
      <c r="D6" s="1419"/>
      <c r="E6" s="5"/>
    </row>
    <row r="7" spans="1:8">
      <c r="A7" s="7"/>
      <c r="B7" s="29"/>
      <c r="C7" s="503"/>
      <c r="D7" s="7"/>
      <c r="E7" s="7"/>
    </row>
    <row r="8" spans="1:8">
      <c r="A8" s="1597"/>
      <c r="B8" s="1597"/>
      <c r="C8" s="503"/>
      <c r="D8" s="7"/>
      <c r="E8" s="7"/>
    </row>
    <row r="9" spans="1:8">
      <c r="A9" s="631" t="s">
        <v>39</v>
      </c>
      <c r="B9" s="600" t="s">
        <v>1064</v>
      </c>
      <c r="C9" s="646" t="s">
        <v>1065</v>
      </c>
      <c r="D9" s="646" t="s">
        <v>1066</v>
      </c>
      <c r="E9" s="646" t="s">
        <v>1067</v>
      </c>
    </row>
    <row r="10" spans="1:8">
      <c r="A10" s="646" t="s">
        <v>671</v>
      </c>
      <c r="B10" s="1671" t="s">
        <v>1068</v>
      </c>
      <c r="C10" s="1671"/>
      <c r="D10" s="1671"/>
      <c r="E10" s="646"/>
    </row>
    <row r="11" spans="1:8" ht="25.5">
      <c r="A11" s="615">
        <v>1</v>
      </c>
      <c r="B11" s="632" t="s">
        <v>1069</v>
      </c>
      <c r="C11" s="633">
        <f>+A!F11+A!F18+A!F25</f>
        <v>0</v>
      </c>
      <c r="D11" s="633">
        <f>+A!G12+A!G19+A!G26</f>
        <v>0</v>
      </c>
      <c r="E11" s="1068">
        <f>+D11-C11</f>
        <v>0</v>
      </c>
    </row>
    <row r="12" spans="1:8">
      <c r="A12" s="602">
        <v>2</v>
      </c>
      <c r="B12" s="634" t="s">
        <v>1070</v>
      </c>
      <c r="C12" s="635" t="s">
        <v>1071</v>
      </c>
      <c r="D12" s="635" t="e">
        <f>+A!G34</f>
        <v>#DIV/0!</v>
      </c>
      <c r="E12" s="635" t="e">
        <f>IF(D12&lt;=0.05,"Хангасан","Хангаагүй")</f>
        <v>#DIV/0!</v>
      </c>
      <c r="H12" s="551" t="e">
        <f>IF(D12&lt;=0.05,"!","")</f>
        <v>#DIV/0!</v>
      </c>
    </row>
    <row r="13" spans="1:8" ht="25.5">
      <c r="A13" s="602">
        <v>3</v>
      </c>
      <c r="B13" s="634" t="s">
        <v>1072</v>
      </c>
      <c r="C13" s="635" t="s">
        <v>1073</v>
      </c>
      <c r="D13" s="635" t="e">
        <f>+'40 BIG LOAN'!Q62</f>
        <v>#DIV/0!</v>
      </c>
      <c r="E13" s="635" t="e">
        <f>IF(D13&lt;=0.3,IF(Balancesheet!G59&gt;0,"Хангасан","Хангаагүй"),"Хангаагүй")</f>
        <v>#DIV/0!</v>
      </c>
      <c r="H13" s="551"/>
    </row>
    <row r="14" spans="1:8" ht="25.5">
      <c r="A14" s="602">
        <v>4</v>
      </c>
      <c r="B14" s="634" t="s">
        <v>1074</v>
      </c>
      <c r="C14" s="635" t="s">
        <v>1073</v>
      </c>
      <c r="D14" s="635" t="e">
        <f>+INSIDER!P51</f>
        <v>#DIV/0!</v>
      </c>
      <c r="E14" s="635" t="e">
        <f>IF(D14&lt;=0.3,IF(Balancesheet!G59&gt;0,"Хангасан","Хангаагүй"),"Хангаагүй")</f>
        <v>#DIV/0!</v>
      </c>
      <c r="H14" s="551"/>
    </row>
    <row r="15" spans="1:8">
      <c r="A15" s="646" t="s">
        <v>672</v>
      </c>
      <c r="B15" s="1672" t="s">
        <v>1075</v>
      </c>
      <c r="C15" s="1672"/>
      <c r="D15" s="1672"/>
      <c r="E15" s="645"/>
      <c r="H15" s="551"/>
    </row>
    <row r="16" spans="1:8" ht="25.5">
      <c r="A16" s="602">
        <v>1</v>
      </c>
      <c r="B16" s="636" t="s">
        <v>1076</v>
      </c>
      <c r="C16" s="637" t="s">
        <v>1077</v>
      </c>
      <c r="D16" s="637" t="e">
        <f>+E!C39</f>
        <v>#DIV/0!</v>
      </c>
      <c r="E16" s="637" t="e">
        <f>IF(AND(D16&gt;=0.6, D16&lt;=0.85),"Хангасан","Хангаагүй")</f>
        <v>#DIV/0!</v>
      </c>
      <c r="H16" s="551"/>
    </row>
    <row r="17" spans="1:8">
      <c r="A17" s="602">
        <v>2</v>
      </c>
      <c r="B17" s="636" t="s">
        <v>1078</v>
      </c>
      <c r="C17" s="638" t="s">
        <v>1079</v>
      </c>
      <c r="D17" s="638" t="e">
        <f>+E!C42</f>
        <v>#DIV/0!</v>
      </c>
      <c r="E17" s="638" t="e">
        <f>IF(D17&lt;=0.1,"Хангасан","Хангаагүй")</f>
        <v>#DIV/0!</v>
      </c>
      <c r="H17" s="551"/>
    </row>
    <row r="18" spans="1:8" ht="25.5">
      <c r="A18" s="602">
        <v>3</v>
      </c>
      <c r="B18" s="636" t="s">
        <v>1080</v>
      </c>
      <c r="C18" s="638" t="s">
        <v>1081</v>
      </c>
      <c r="D18" s="638" t="e">
        <f>+E!C45</f>
        <v>#DIV/0!</v>
      </c>
      <c r="E18" s="638" t="e">
        <f>IF(AND(D18&gt;=0.4,D18&lt;=0.8),"Хангасан","Хангаагүй")</f>
        <v>#DIV/0!</v>
      </c>
      <c r="H18" s="551"/>
    </row>
    <row r="19" spans="1:8">
      <c r="A19" s="602">
        <v>4</v>
      </c>
      <c r="B19" s="636" t="s">
        <v>1082</v>
      </c>
      <c r="C19" s="638" t="s">
        <v>1083</v>
      </c>
      <c r="D19" s="638" t="e">
        <f>+E!C48</f>
        <v>#DIV/0!</v>
      </c>
      <c r="E19" s="638" t="e">
        <f>IF(D19&lt;=0.2,"Хангасан","Хангаагүй")</f>
        <v>#DIV/0!</v>
      </c>
      <c r="H19" s="551"/>
    </row>
    <row r="20" spans="1:8" ht="25.5">
      <c r="A20" s="602">
        <v>5</v>
      </c>
      <c r="B20" s="636" t="s">
        <v>1084</v>
      </c>
      <c r="C20" s="638" t="s">
        <v>1079</v>
      </c>
      <c r="D20" s="638" t="e">
        <f>+'BIG SHARES'!E52</f>
        <v>#DIV/0!</v>
      </c>
      <c r="E20" s="638" t="e">
        <f>IF(D20&lt;=0.1,"Хангасан","Хангаагүй")</f>
        <v>#DIV/0!</v>
      </c>
      <c r="H20" s="551"/>
    </row>
    <row r="21" spans="1:8">
      <c r="A21" s="602">
        <v>6</v>
      </c>
      <c r="B21" s="636" t="s">
        <v>1085</v>
      </c>
      <c r="C21" s="638" t="s">
        <v>1086</v>
      </c>
      <c r="D21" s="638" t="e">
        <f>+E!C57</f>
        <v>#DIV/0!</v>
      </c>
      <c r="E21" s="638" t="e">
        <f>IF(D21&gt;=0.05,"Хангасан","Хангаагүй")</f>
        <v>#DIV/0!</v>
      </c>
      <c r="H21" s="551"/>
    </row>
    <row r="22" spans="1:8" ht="25.5">
      <c r="A22" s="602">
        <v>7</v>
      </c>
      <c r="B22" s="636" t="s">
        <v>1087</v>
      </c>
      <c r="C22" s="639">
        <f>+IF(Balancesheet!C78&gt;0,Balancesheet!C78*3%,0)</f>
        <v>0</v>
      </c>
      <c r="D22" s="1043">
        <f>+Balance!H97</f>
        <v>0</v>
      </c>
      <c r="E22" s="1069" t="str">
        <f>IF(C22&lt;D22,"Хангасан","Хангаагүй")</f>
        <v>Хангаагүй</v>
      </c>
      <c r="H22" s="551"/>
    </row>
    <row r="23" spans="1:8" ht="25.5">
      <c r="A23" s="602">
        <v>8</v>
      </c>
      <c r="B23" s="636" t="s">
        <v>1088</v>
      </c>
      <c r="C23" s="639">
        <f>+IF(Balancesheet!G69&gt;0,Balancesheet!G69*5%,0)</f>
        <v>0</v>
      </c>
      <c r="D23" s="1043">
        <f>+Balancesheet!G72</f>
        <v>0</v>
      </c>
      <c r="E23" s="1069" t="str">
        <f>IF(C23&lt;D23,IF(Balancesheet!G69&gt;0,"Хангасан","Хангаагүй"),"Хангаагүй")</f>
        <v>Хангаагүй</v>
      </c>
      <c r="H23" s="551"/>
    </row>
    <row r="24" spans="1:8" ht="25.5">
      <c r="A24" s="602">
        <v>9</v>
      </c>
      <c r="B24" s="636" t="s">
        <v>1089</v>
      </c>
      <c r="C24" s="639">
        <f>+IF(Balancesheet!G69&gt;0,Balancesheet!G69*5%,0)</f>
        <v>0</v>
      </c>
      <c r="D24" s="1043">
        <f>+Balancesheet!G71</f>
        <v>0</v>
      </c>
      <c r="E24" s="1069" t="str">
        <f>IF(C24&lt;=D24,IF(Balancesheet!G69&gt;0,"Хангасан","Хангаагүй"),"Хангаагүй")</f>
        <v>Хангаагүй</v>
      </c>
      <c r="H24" s="551"/>
    </row>
    <row r="25" spans="1:8">
      <c r="A25" s="646" t="s">
        <v>673</v>
      </c>
      <c r="B25" s="1673" t="s">
        <v>1090</v>
      </c>
      <c r="C25" s="1673"/>
      <c r="D25" s="1673"/>
      <c r="E25" s="644"/>
      <c r="H25" s="551"/>
    </row>
    <row r="26" spans="1:8" ht="25.5">
      <c r="A26" s="602">
        <v>10</v>
      </c>
      <c r="B26" s="640" t="s">
        <v>1091</v>
      </c>
      <c r="C26" s="638" t="s">
        <v>1079</v>
      </c>
      <c r="D26" s="638" t="e">
        <f>+'R'!C25</f>
        <v>#DIV/0!</v>
      </c>
      <c r="E26" s="638" t="e">
        <f>IF(D26&lt;=0.1,"Хангасан","Хангаагүй")</f>
        <v>#DIV/0!</v>
      </c>
      <c r="H26" s="551"/>
    </row>
    <row r="27" spans="1:8">
      <c r="A27" s="646" t="s">
        <v>674</v>
      </c>
      <c r="B27" s="1672" t="s">
        <v>1092</v>
      </c>
      <c r="C27" s="1672"/>
      <c r="D27" s="1672"/>
      <c r="E27" s="645"/>
      <c r="H27" s="551"/>
    </row>
    <row r="28" spans="1:8" ht="25.5">
      <c r="A28" s="602">
        <v>11</v>
      </c>
      <c r="B28" s="765" t="s">
        <v>1093</v>
      </c>
      <c r="C28" s="641" t="s">
        <v>1094</v>
      </c>
      <c r="D28" s="641" t="e">
        <f>+L!C18</f>
        <v>#DIV/0!</v>
      </c>
      <c r="E28" s="641" t="e">
        <f>IF(D28&gt;=0.1,"Хангасан","Хангаагүй")</f>
        <v>#DIV/0!</v>
      </c>
      <c r="H28" s="642"/>
    </row>
    <row r="29" spans="1:8">
      <c r="A29" s="646" t="s">
        <v>675</v>
      </c>
      <c r="B29" s="1672" t="s">
        <v>1095</v>
      </c>
      <c r="C29" s="1672"/>
      <c r="D29" s="1672"/>
      <c r="E29" s="645"/>
      <c r="H29" s="642"/>
    </row>
    <row r="30" spans="1:8">
      <c r="A30" s="615">
        <v>12</v>
      </c>
      <c r="B30" s="1674" t="s">
        <v>1096</v>
      </c>
      <c r="C30" s="1674"/>
      <c r="D30" s="635" t="e">
        <f>+'R'!C28</f>
        <v>#DIV/0!</v>
      </c>
      <c r="E30" s="635"/>
      <c r="H30" s="642"/>
    </row>
    <row r="31" spans="1:8" ht="19.5" customHeight="1">
      <c r="A31" s="40"/>
      <c r="B31" s="1675" t="s">
        <v>1097</v>
      </c>
      <c r="C31" s="1675"/>
      <c r="D31" s="1675"/>
      <c r="E31" s="1067"/>
    </row>
    <row r="32" spans="1:8">
      <c r="A32" s="40"/>
      <c r="B32" s="678"/>
      <c r="C32" s="678"/>
      <c r="D32" s="678"/>
      <c r="E32" s="678"/>
    </row>
    <row r="33" spans="1:5">
      <c r="A33" s="40"/>
      <c r="B33" s="678" t="s">
        <v>1098</v>
      </c>
      <c r="C33" s="764">
        <f>+COUNTIF(E11:E30,"Хангасан")</f>
        <v>0</v>
      </c>
      <c r="D33" s="40" t="s">
        <v>1099</v>
      </c>
      <c r="E33" s="40"/>
    </row>
    <row r="36" spans="1:5">
      <c r="A36" s="1509" t="s">
        <v>111</v>
      </c>
      <c r="B36" s="1374"/>
      <c r="C36" s="1374"/>
      <c r="D36" s="1374"/>
      <c r="E36" s="248"/>
    </row>
    <row r="37" spans="1:5">
      <c r="A37" s="1374" t="s">
        <v>112</v>
      </c>
      <c r="B37" s="1374"/>
      <c r="C37" s="1374"/>
      <c r="D37" s="1374"/>
      <c r="E37" s="248"/>
    </row>
    <row r="39" spans="1:5">
      <c r="B39" s="678" t="s">
        <v>392</v>
      </c>
      <c r="D39" s="180" t="str">
        <f>+STATISTICS!C112</f>
        <v>/Нэр/</v>
      </c>
    </row>
    <row r="40" spans="1:5">
      <c r="B40" s="678"/>
    </row>
    <row r="41" spans="1:5">
      <c r="B41" s="678" t="s">
        <v>115</v>
      </c>
      <c r="D41" s="180" t="str">
        <f>+STATISTICS!C114</f>
        <v>/Нэр/</v>
      </c>
    </row>
  </sheetData>
  <sheetProtection algorithmName="SHA-512" hashValue="IML+R9vZJFBwBN/RPyvhbE+rNwvOAw52f62EWr5ZYY14IWRjEv59R9l5luO+chnJjAEa+SauFAJSSMwPfE2e0w==" saltValue="T3wITK0Y3xqZC1QsmfUICw==" spinCount="100000" sheet="1" objects="1" scenarios="1"/>
  <mergeCells count="13">
    <mergeCell ref="A37:D37"/>
    <mergeCell ref="A4:D4"/>
    <mergeCell ref="A5:D5"/>
    <mergeCell ref="A6:D6"/>
    <mergeCell ref="A8:B8"/>
    <mergeCell ref="B10:D10"/>
    <mergeCell ref="B15:D15"/>
    <mergeCell ref="B25:D25"/>
    <mergeCell ref="B27:D27"/>
    <mergeCell ref="B29:D29"/>
    <mergeCell ref="B30:C30"/>
    <mergeCell ref="A36:D36"/>
    <mergeCell ref="B31:D31"/>
  </mergeCells>
  <pageMargins left="0.7" right="0.7" top="0.75" bottom="0.75" header="0.3" footer="0.3"/>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8BAD9-7F66-4545-9ED4-7071843C4F84}">
  <dimension ref="A1:L114"/>
  <sheetViews>
    <sheetView zoomScale="115" zoomScaleNormal="115" workbookViewId="0">
      <selection activeCell="C16" sqref="C16"/>
    </sheetView>
  </sheetViews>
  <sheetFormatPr defaultRowHeight="15"/>
  <cols>
    <col min="1" max="1" width="3.5703125" bestFit="1" customWidth="1"/>
    <col min="2" max="2" width="56" bestFit="1" customWidth="1"/>
    <col min="3" max="3" width="49.140625" customWidth="1"/>
    <col min="4" max="4" width="12.140625" style="300" customWidth="1"/>
  </cols>
  <sheetData>
    <row r="1" spans="1:4">
      <c r="A1" s="305"/>
      <c r="B1" s="305"/>
      <c r="C1" s="306" t="s">
        <v>34</v>
      </c>
    </row>
    <row r="2" spans="1:4">
      <c r="A2" s="305"/>
      <c r="B2" s="305"/>
      <c r="C2" s="306" t="s">
        <v>35</v>
      </c>
    </row>
    <row r="3" spans="1:4">
      <c r="A3" s="305"/>
      <c r="B3" s="305"/>
      <c r="C3" s="306"/>
    </row>
    <row r="4" spans="1:4">
      <c r="A4" s="1408" t="s">
        <v>36</v>
      </c>
      <c r="B4" s="1408"/>
      <c r="C4" s="1408"/>
    </row>
    <row r="5" spans="1:4">
      <c r="A5" s="1409" t="s">
        <v>37</v>
      </c>
      <c r="B5" s="1409"/>
      <c r="C5" s="1409"/>
    </row>
    <row r="6" spans="1:4">
      <c r="A6" s="1408" t="s">
        <v>38</v>
      </c>
      <c r="B6" s="1408"/>
      <c r="C6" s="1408"/>
    </row>
    <row r="7" spans="1:4">
      <c r="A7" s="305"/>
      <c r="B7" s="305"/>
      <c r="C7" s="305"/>
    </row>
    <row r="8" spans="1:4" ht="15.75" thickBot="1">
      <c r="A8" s="1410"/>
      <c r="B8" s="1410"/>
      <c r="C8" s="307"/>
    </row>
    <row r="9" spans="1:4">
      <c r="A9" s="1411" t="s">
        <v>39</v>
      </c>
      <c r="B9" s="1412" t="s">
        <v>40</v>
      </c>
      <c r="C9" s="1414" t="s">
        <v>41</v>
      </c>
    </row>
    <row r="10" spans="1:4" ht="15.75" thickBot="1">
      <c r="A10" s="1407"/>
      <c r="B10" s="1413"/>
      <c r="C10" s="1415"/>
    </row>
    <row r="11" spans="1:4" ht="15.75" thickBot="1">
      <c r="A11" s="308" t="s">
        <v>42</v>
      </c>
      <c r="B11" s="1401" t="s">
        <v>43</v>
      </c>
      <c r="C11" s="1402"/>
    </row>
    <row r="12" spans="1:4" ht="15.75" thickBot="1">
      <c r="A12" s="1396">
        <v>1</v>
      </c>
      <c r="B12" s="309" t="s">
        <v>44</v>
      </c>
      <c r="C12" s="310">
        <f>+SUM(C13:C15)</f>
        <v>0</v>
      </c>
      <c r="D12" s="300" t="str">
        <f>+IF(C12&gt;=20,"","Гишүүдийн тоо 20 ба түүнээс дээш байхыг анхаарна уу")</f>
        <v>Гишүүдийн тоо 20 ба түүнээс дээш байхыг анхаарна уу</v>
      </c>
    </row>
    <row r="13" spans="1:4">
      <c r="A13" s="1388"/>
      <c r="B13" s="311" t="s">
        <v>45</v>
      </c>
      <c r="C13" s="296"/>
      <c r="D13" s="300" t="str">
        <f>+IF(C13&gt;0,"","Утга нөхөх")</f>
        <v>Утга нөхөх</v>
      </c>
    </row>
    <row r="14" spans="1:4">
      <c r="A14" s="1388"/>
      <c r="B14" s="311" t="s">
        <v>46</v>
      </c>
      <c r="C14" s="297"/>
      <c r="D14" s="300" t="str">
        <f>+IF(C14&gt;0,"","Утга нөхөх")</f>
        <v>Утга нөхөх</v>
      </c>
    </row>
    <row r="15" spans="1:4">
      <c r="A15" s="1388"/>
      <c r="B15" s="311" t="s">
        <v>47</v>
      </c>
      <c r="C15" s="297"/>
      <c r="D15" s="300" t="str">
        <f>+IF(C15="","Утга нөхөх","")</f>
        <v>Утга нөхөх</v>
      </c>
    </row>
    <row r="16" spans="1:4" ht="15.75" thickBot="1">
      <c r="A16" s="1388"/>
      <c r="B16" s="312" t="s">
        <v>48</v>
      </c>
      <c r="C16" s="297"/>
      <c r="D16" s="300" t="str">
        <f>+IF(C16="",IF(C15&gt;0,"Утга нөхөх",""),"")</f>
        <v/>
      </c>
    </row>
    <row r="17" spans="1:4" ht="15.75" thickBot="1">
      <c r="A17" s="1389"/>
      <c r="B17" s="1045" t="s">
        <v>49</v>
      </c>
      <c r="C17" s="1046"/>
      <c r="D17" s="300" t="str">
        <f>+IF(C17="","Утга нөхөх","")</f>
        <v>Утга нөхөх</v>
      </c>
    </row>
    <row r="18" spans="1:4" ht="15.75" thickBot="1">
      <c r="A18" s="1403">
        <v>2</v>
      </c>
      <c r="B18" s="313" t="s">
        <v>50</v>
      </c>
      <c r="C18" s="310">
        <f>+SUM(C19:C22)</f>
        <v>0</v>
      </c>
      <c r="D18" s="301" t="str">
        <f>IF(C18=(C12-C15),"","Гишүүдийн насжилт нийт гишүүдийн тооноос гишүүн хуулийн этгээдийн тоог хассантай тэнцүү байхыг анхаарна уу")</f>
        <v/>
      </c>
    </row>
    <row r="19" spans="1:4">
      <c r="A19" s="1395"/>
      <c r="B19" s="314" t="s">
        <v>51</v>
      </c>
      <c r="C19" s="298"/>
      <c r="D19" s="300" t="str">
        <f>+IF(C19="","Утга нөхөх","")</f>
        <v>Утга нөхөх</v>
      </c>
    </row>
    <row r="20" spans="1:4">
      <c r="A20" s="1395"/>
      <c r="B20" s="314" t="s">
        <v>52</v>
      </c>
      <c r="C20" s="298"/>
      <c r="D20" s="300" t="str">
        <f t="shared" ref="D20:D22" si="0">+IF(C20="","Утга нөхөх","")</f>
        <v>Утга нөхөх</v>
      </c>
    </row>
    <row r="21" spans="1:4">
      <c r="A21" s="1395"/>
      <c r="B21" s="314" t="s">
        <v>53</v>
      </c>
      <c r="C21" s="298"/>
      <c r="D21" s="300" t="str">
        <f t="shared" si="0"/>
        <v>Утга нөхөх</v>
      </c>
    </row>
    <row r="22" spans="1:4" ht="15.75" thickBot="1">
      <c r="A22" s="1395"/>
      <c r="B22" s="314" t="s">
        <v>54</v>
      </c>
      <c r="C22" s="298"/>
      <c r="D22" s="300" t="str">
        <f t="shared" si="0"/>
        <v>Утга нөхөх</v>
      </c>
    </row>
    <row r="23" spans="1:4" ht="15.75" thickBot="1">
      <c r="A23" s="1396">
        <v>3</v>
      </c>
      <c r="B23" s="315" t="s">
        <v>55</v>
      </c>
      <c r="C23" s="316">
        <f>+SUM(C24:C28)</f>
        <v>0</v>
      </c>
      <c r="D23" s="301" t="str">
        <f>IF(C23=(C12-C15),"","Гишүүдийн насжилт нийт гишүүдийн тооноос гишүүн хуулийн этгээдийн тоог хассантай тэнцүү байхыг анхаарна уу")</f>
        <v/>
      </c>
    </row>
    <row r="24" spans="1:4">
      <c r="A24" s="1388"/>
      <c r="B24" s="311" t="s">
        <v>56</v>
      </c>
      <c r="C24" s="298"/>
      <c r="D24" s="300" t="str">
        <f t="shared" ref="D24:D28" si="1">+IF(C24="","Утга нөхөх","")</f>
        <v>Утга нөхөх</v>
      </c>
    </row>
    <row r="25" spans="1:4">
      <c r="A25" s="1388"/>
      <c r="B25" s="311" t="s">
        <v>57</v>
      </c>
      <c r="C25" s="298"/>
      <c r="D25" s="300" t="str">
        <f t="shared" si="1"/>
        <v>Утга нөхөх</v>
      </c>
    </row>
    <row r="26" spans="1:4">
      <c r="A26" s="1388"/>
      <c r="B26" s="311" t="s">
        <v>58</v>
      </c>
      <c r="C26" s="298"/>
      <c r="D26" s="300" t="str">
        <f t="shared" si="1"/>
        <v>Утга нөхөх</v>
      </c>
    </row>
    <row r="27" spans="1:4">
      <c r="A27" s="1388"/>
      <c r="B27" s="311" t="s">
        <v>59</v>
      </c>
      <c r="C27" s="298"/>
      <c r="D27" s="300" t="str">
        <f t="shared" si="1"/>
        <v>Утга нөхөх</v>
      </c>
    </row>
    <row r="28" spans="1:4" ht="15.75" thickBot="1">
      <c r="A28" s="1389"/>
      <c r="B28" s="311" t="s">
        <v>60</v>
      </c>
      <c r="C28" s="298"/>
      <c r="D28" s="300" t="str">
        <f t="shared" si="1"/>
        <v>Утга нөхөх</v>
      </c>
    </row>
    <row r="29" spans="1:4" ht="15.75" thickBot="1">
      <c r="A29" s="317" t="s">
        <v>61</v>
      </c>
      <c r="B29" s="1404" t="s">
        <v>62</v>
      </c>
      <c r="C29" s="1405"/>
    </row>
    <row r="30" spans="1:4" ht="15.75" thickBot="1">
      <c r="A30" s="1396">
        <v>4</v>
      </c>
      <c r="B30" s="318" t="s">
        <v>63</v>
      </c>
      <c r="C30" s="359">
        <f>+SUM(C31+C33)</f>
        <v>0</v>
      </c>
      <c r="D30" s="301" t="str">
        <f>IF(C30&lt;C12,"","Зээлдэгчдийн тоо нийт гишүүдийн тооноос их байхгүйг анхаарна уу")</f>
        <v>Зээлдэгчдийн тоо нийт гишүүдийн тооноос их байхгүйг анхаарна уу</v>
      </c>
    </row>
    <row r="31" spans="1:4">
      <c r="A31" s="1403"/>
      <c r="B31" s="319" t="s">
        <v>64</v>
      </c>
      <c r="C31" s="286"/>
      <c r="D31" s="300" t="str">
        <f>+IF(C31="","Утга нөхөх","")</f>
        <v>Утга нөхөх</v>
      </c>
    </row>
    <row r="32" spans="1:4">
      <c r="A32" s="1403"/>
      <c r="B32" s="320" t="s">
        <v>65</v>
      </c>
      <c r="C32" s="287"/>
      <c r="D32" s="300" t="str">
        <f>+IF(C32="","Утга нөхөх","")</f>
        <v>Утга нөхөх</v>
      </c>
    </row>
    <row r="33" spans="1:4">
      <c r="A33" s="1403"/>
      <c r="B33" s="320" t="s">
        <v>66</v>
      </c>
      <c r="C33" s="287"/>
      <c r="D33" s="300" t="str">
        <f>+IF(C33="",IF(C15&gt;0,"Утга нөхөх",""),"")</f>
        <v/>
      </c>
    </row>
    <row r="34" spans="1:4" ht="15.75" thickBot="1">
      <c r="A34" s="1406"/>
      <c r="B34" s="321" t="s">
        <v>67</v>
      </c>
      <c r="C34" s="287"/>
      <c r="D34" s="300" t="str">
        <f>+IF(C34="",IF(C33&gt;0,"Утга нөхөх",""),"")</f>
        <v/>
      </c>
    </row>
    <row r="35" spans="1:4" ht="15.75" thickBot="1">
      <c r="A35" s="1397">
        <v>5</v>
      </c>
      <c r="B35" s="322" t="s">
        <v>68</v>
      </c>
      <c r="C35" s="359">
        <f>+SUM(C36:C38)</f>
        <v>0</v>
      </c>
      <c r="D35" s="301" t="str">
        <f>IF(C35=C30,"","Зээлдэгчдийн тоо зөрүүтэй байна")</f>
        <v/>
      </c>
    </row>
    <row r="36" spans="1:4">
      <c r="A36" s="1397"/>
      <c r="B36" s="323" t="s">
        <v>69</v>
      </c>
      <c r="C36" s="284"/>
      <c r="D36" s="300" t="str">
        <f>+IF(C36="","Утга нөхөх","")</f>
        <v>Утга нөхөх</v>
      </c>
    </row>
    <row r="37" spans="1:4" ht="15.75" thickBot="1">
      <c r="A37" s="1397"/>
      <c r="B37" s="324" t="s">
        <v>70</v>
      </c>
      <c r="C37" s="288"/>
      <c r="D37" s="300" t="str">
        <f>+IF(C37="","Утга нөхөх","")</f>
        <v>Утга нөхөх</v>
      </c>
    </row>
    <row r="38" spans="1:4" ht="15.75" thickBot="1">
      <c r="A38" s="1397"/>
      <c r="B38" s="1044" t="s">
        <v>71</v>
      </c>
      <c r="C38" s="325">
        <f>+SUM(C39:C41)</f>
        <v>0</v>
      </c>
    </row>
    <row r="39" spans="1:4">
      <c r="A39" s="1397"/>
      <c r="B39" s="323" t="s">
        <v>72</v>
      </c>
      <c r="C39" s="287"/>
      <c r="D39" s="300" t="str">
        <f>+IF(C39="","Утга нөхөх","")</f>
        <v>Утга нөхөх</v>
      </c>
    </row>
    <row r="40" spans="1:4">
      <c r="A40" s="1397"/>
      <c r="B40" s="326" t="s">
        <v>73</v>
      </c>
      <c r="C40" s="287"/>
      <c r="D40" s="300" t="str">
        <f>+IF(C40="","Утга нөхөх","")</f>
        <v>Утга нөхөх</v>
      </c>
    </row>
    <row r="41" spans="1:4" ht="15.75" thickBot="1">
      <c r="A41" s="1398"/>
      <c r="B41" s="324" t="s">
        <v>74</v>
      </c>
      <c r="C41" s="289"/>
    </row>
    <row r="42" spans="1:4" ht="15.75" thickBot="1">
      <c r="A42" s="1403">
        <v>6</v>
      </c>
      <c r="B42" s="313" t="s">
        <v>75</v>
      </c>
      <c r="C42" s="310">
        <f>+SUM(C43:C46)</f>
        <v>0</v>
      </c>
      <c r="D42" s="301" t="str">
        <f>IF(C42=(C30-C33),"","Зээлдэгчдийн насжилт нийт зээлдэгчийн тооноос гишүүн хуулийн этгээдийн тоог хассантай тэнцүү байхыг анхаарна уу")</f>
        <v/>
      </c>
    </row>
    <row r="43" spans="1:4">
      <c r="A43" s="1395"/>
      <c r="B43" s="314" t="s">
        <v>51</v>
      </c>
      <c r="C43" s="298"/>
      <c r="D43" s="300" t="str">
        <f>+IF(C43="","Утга нөхөх","")</f>
        <v>Утга нөхөх</v>
      </c>
    </row>
    <row r="44" spans="1:4">
      <c r="A44" s="1395"/>
      <c r="B44" s="314" t="s">
        <v>52</v>
      </c>
      <c r="C44" s="298"/>
      <c r="D44" s="300" t="str">
        <f>+IF(C44="","Утга нөхөх","")</f>
        <v>Утга нөхөх</v>
      </c>
    </row>
    <row r="45" spans="1:4">
      <c r="A45" s="1395"/>
      <c r="B45" s="314" t="s">
        <v>53</v>
      </c>
      <c r="C45" s="298"/>
      <c r="D45" s="300" t="str">
        <f>+IF(C45="","Утга нөхөх","")</f>
        <v>Утга нөхөх</v>
      </c>
    </row>
    <row r="46" spans="1:4" ht="15.75" thickBot="1">
      <c r="A46" s="1407"/>
      <c r="B46" s="314" t="s">
        <v>54</v>
      </c>
      <c r="C46" s="298"/>
      <c r="D46" s="300" t="str">
        <f>+IF(C46="","Утга нөхөх","")</f>
        <v>Утга нөхөх</v>
      </c>
    </row>
    <row r="47" spans="1:4" ht="15.75" thickBot="1">
      <c r="A47" s="1394">
        <v>7</v>
      </c>
      <c r="B47" s="313" t="s">
        <v>76</v>
      </c>
      <c r="C47" s="316">
        <f>+SUM(C48:C52)</f>
        <v>0</v>
      </c>
      <c r="D47" s="300" t="str">
        <f>IF(C47=(C30-C33),"","Зээлдэгчдийн насжилт нийт зээлдэгчийн тооноос гишүүн хуулийн этгээдийн тоог хассантай тэнцүү байхыг анхаарна уу")</f>
        <v/>
      </c>
    </row>
    <row r="48" spans="1:4">
      <c r="A48" s="1395"/>
      <c r="B48" s="314" t="s">
        <v>56</v>
      </c>
      <c r="C48" s="298"/>
      <c r="D48" s="300" t="str">
        <f t="shared" ref="D48:D53" si="2">+IF(C48="","Утга нөхөх","")</f>
        <v>Утга нөхөх</v>
      </c>
    </row>
    <row r="49" spans="1:4">
      <c r="A49" s="1395"/>
      <c r="B49" s="314" t="s">
        <v>57</v>
      </c>
      <c r="C49" s="298"/>
      <c r="D49" s="300" t="str">
        <f t="shared" si="2"/>
        <v>Утга нөхөх</v>
      </c>
    </row>
    <row r="50" spans="1:4">
      <c r="A50" s="1395"/>
      <c r="B50" s="314" t="s">
        <v>58</v>
      </c>
      <c r="C50" s="298"/>
      <c r="D50" s="300" t="str">
        <f t="shared" si="2"/>
        <v>Утга нөхөх</v>
      </c>
    </row>
    <row r="51" spans="1:4">
      <c r="A51" s="1395"/>
      <c r="B51" s="314" t="s">
        <v>59</v>
      </c>
      <c r="C51" s="298"/>
      <c r="D51" s="300" t="str">
        <f t="shared" si="2"/>
        <v>Утга нөхөх</v>
      </c>
    </row>
    <row r="52" spans="1:4" ht="15.75" thickBot="1">
      <c r="A52" s="1395"/>
      <c r="B52" s="314" t="s">
        <v>60</v>
      </c>
      <c r="C52" s="298"/>
      <c r="D52" s="300" t="str">
        <f t="shared" si="2"/>
        <v>Утга нөхөх</v>
      </c>
    </row>
    <row r="53" spans="1:4" ht="15.75" thickBot="1">
      <c r="A53" s="327">
        <v>8</v>
      </c>
      <c r="B53" s="1047" t="s">
        <v>77</v>
      </c>
      <c r="C53" s="1048"/>
      <c r="D53" s="300" t="str">
        <f t="shared" si="2"/>
        <v>Утга нөхөх</v>
      </c>
    </row>
    <row r="54" spans="1:4" ht="15.75" thickBot="1">
      <c r="A54" s="1396">
        <v>9</v>
      </c>
      <c r="B54" s="328" t="s">
        <v>78</v>
      </c>
      <c r="C54" s="325"/>
    </row>
    <row r="55" spans="1:4">
      <c r="A55" s="1397"/>
      <c r="B55" s="329" t="s">
        <v>64</v>
      </c>
      <c r="C55" s="299"/>
      <c r="D55" s="300" t="str">
        <f t="shared" ref="D55:D56" si="3">+IF(C55="","Утга нөхөх","")</f>
        <v>Утга нөхөх</v>
      </c>
    </row>
    <row r="56" spans="1:4">
      <c r="A56" s="1397"/>
      <c r="B56" s="330" t="s">
        <v>65</v>
      </c>
      <c r="C56" s="299"/>
      <c r="D56" s="300" t="str">
        <f t="shared" si="3"/>
        <v>Утга нөхөх</v>
      </c>
    </row>
    <row r="57" spans="1:4">
      <c r="A57" s="1397"/>
      <c r="B57" s="330" t="s">
        <v>66</v>
      </c>
      <c r="C57" s="299"/>
      <c r="D57" s="300" t="str">
        <f>+IF(C57="",IF(C15&gt;0,"Утга нөхөх",""),"")</f>
        <v/>
      </c>
    </row>
    <row r="58" spans="1:4" ht="15.75" thickBot="1">
      <c r="A58" s="1398"/>
      <c r="B58" s="321" t="s">
        <v>67</v>
      </c>
      <c r="C58" s="299"/>
      <c r="D58" s="300" t="str">
        <f>+IF(C58="",IF(C57&gt;0,"Утга нөхөх",""),"")</f>
        <v/>
      </c>
    </row>
    <row r="59" spans="1:4" ht="15.75" thickBot="1">
      <c r="A59" s="331" t="s">
        <v>79</v>
      </c>
      <c r="B59" s="1399" t="s">
        <v>80</v>
      </c>
      <c r="C59" s="1400"/>
    </row>
    <row r="60" spans="1:4" ht="15.75" thickBot="1">
      <c r="A60" s="1396">
        <v>10</v>
      </c>
      <c r="B60" s="332" t="s">
        <v>81</v>
      </c>
      <c r="C60" s="333">
        <f>+C61+C66</f>
        <v>0</v>
      </c>
      <c r="D60" s="300" t="str">
        <f>IF(C60&lt;=C12,"","Хадгаламж эзэмшигчдийн тоо нийт гишүүдийн тооноос их байхгүйг анхаарна уу")</f>
        <v/>
      </c>
    </row>
    <row r="61" spans="1:4">
      <c r="A61" s="1397"/>
      <c r="B61" s="334" t="s">
        <v>82</v>
      </c>
      <c r="C61" s="335">
        <f>+C62+C64</f>
        <v>0</v>
      </c>
    </row>
    <row r="62" spans="1:4">
      <c r="A62" s="1397"/>
      <c r="B62" s="326" t="s">
        <v>83</v>
      </c>
      <c r="C62" s="290"/>
      <c r="D62" s="300" t="str">
        <f t="shared" ref="D62:D82" si="4">+IF(C62="","Утга нөхөх","")</f>
        <v>Утга нөхөх</v>
      </c>
    </row>
    <row r="63" spans="1:4">
      <c r="A63" s="1397"/>
      <c r="B63" s="336" t="s">
        <v>84</v>
      </c>
      <c r="C63" s="291"/>
      <c r="D63" s="300" t="str">
        <f t="shared" si="4"/>
        <v>Утга нөхөх</v>
      </c>
    </row>
    <row r="64" spans="1:4">
      <c r="A64" s="1397"/>
      <c r="B64" s="337" t="s">
        <v>85</v>
      </c>
      <c r="C64" s="287"/>
      <c r="D64" s="300" t="str">
        <f>+IF(C64="",IF(C15&gt;0,"Утга нөхөх",""),"")</f>
        <v/>
      </c>
    </row>
    <row r="65" spans="1:6">
      <c r="A65" s="1397"/>
      <c r="B65" s="360" t="s">
        <v>67</v>
      </c>
      <c r="C65" s="287"/>
      <c r="D65" s="300" t="str">
        <f>+IF(C65="",IF(C64&gt;0,"Утга нөхөх",""),"")</f>
        <v/>
      </c>
    </row>
    <row r="66" spans="1:6">
      <c r="A66" s="1397"/>
      <c r="B66" s="338" t="s">
        <v>86</v>
      </c>
      <c r="C66" s="339">
        <f>+C67+C69</f>
        <v>0</v>
      </c>
      <c r="F66" s="340"/>
    </row>
    <row r="67" spans="1:6">
      <c r="A67" s="1397"/>
      <c r="B67" s="326" t="s">
        <v>83</v>
      </c>
      <c r="C67" s="284"/>
      <c r="D67" s="300" t="str">
        <f t="shared" si="4"/>
        <v>Утга нөхөх</v>
      </c>
    </row>
    <row r="68" spans="1:6">
      <c r="A68" s="1397"/>
      <c r="B68" s="336" t="s">
        <v>84</v>
      </c>
      <c r="C68" s="291"/>
      <c r="D68" s="300" t="str">
        <f t="shared" si="4"/>
        <v>Утга нөхөх</v>
      </c>
    </row>
    <row r="69" spans="1:6">
      <c r="A69" s="1397"/>
      <c r="B69" s="337" t="s">
        <v>85</v>
      </c>
      <c r="C69" s="287"/>
      <c r="D69" s="300" t="str">
        <f>+IF(C69="",IF(C15&gt;0,"Утга нөхөх",""),"")</f>
        <v/>
      </c>
    </row>
    <row r="70" spans="1:6" ht="15.75" thickBot="1">
      <c r="A70" s="1398"/>
      <c r="B70" s="361" t="s">
        <v>67</v>
      </c>
      <c r="C70" s="287"/>
      <c r="D70" s="300" t="str">
        <f>+IF(C70="",IF(C69&gt;0,"Утга нөхөх",""),"")</f>
        <v/>
      </c>
    </row>
    <row r="71" spans="1:6" ht="15.75" thickBot="1">
      <c r="A71" s="1403">
        <v>11</v>
      </c>
      <c r="B71" s="341" t="s">
        <v>87</v>
      </c>
      <c r="C71" s="310">
        <f>+SUM(C72:C75)</f>
        <v>0</v>
      </c>
      <c r="D71" s="301" t="str">
        <f>IF(C71=(C62+C67),"","Хадгаламж эзэмшигчдийн насжилт нийт хадгаламж эзэмшигчдээс хадгаламж эзэмшигч хуулийн этгээдийн тоог хассантай тэнцүү байхыг анхаарна уу")</f>
        <v/>
      </c>
    </row>
    <row r="72" spans="1:6">
      <c r="A72" s="1395"/>
      <c r="B72" s="314" t="s">
        <v>51</v>
      </c>
      <c r="C72" s="298"/>
      <c r="D72" s="300" t="str">
        <f t="shared" si="4"/>
        <v>Утга нөхөх</v>
      </c>
    </row>
    <row r="73" spans="1:6">
      <c r="A73" s="1395"/>
      <c r="B73" s="314" t="s">
        <v>52</v>
      </c>
      <c r="C73" s="298"/>
      <c r="D73" s="300" t="str">
        <f t="shared" si="4"/>
        <v>Утга нөхөх</v>
      </c>
    </row>
    <row r="74" spans="1:6">
      <c r="A74" s="1395"/>
      <c r="B74" s="314" t="s">
        <v>53</v>
      </c>
      <c r="C74" s="298"/>
      <c r="D74" s="300" t="str">
        <f t="shared" si="4"/>
        <v>Утга нөхөх</v>
      </c>
    </row>
    <row r="75" spans="1:6" ht="15.75" thickBot="1">
      <c r="A75" s="1407"/>
      <c r="B75" s="314" t="s">
        <v>54</v>
      </c>
      <c r="C75" s="298"/>
      <c r="D75" s="300" t="str">
        <f t="shared" si="4"/>
        <v>Утга нөхөх</v>
      </c>
    </row>
    <row r="76" spans="1:6" ht="15.75" thickBot="1">
      <c r="A76" s="1394">
        <v>12</v>
      </c>
      <c r="B76" s="341" t="s">
        <v>88</v>
      </c>
      <c r="C76" s="316">
        <f>+SUM(C77:C81)</f>
        <v>0</v>
      </c>
      <c r="D76" s="300" t="str">
        <f>IF(C76=(C62+C67),"","Хадгаламж эзэмшигчдийн насжилт нийт хадгаламж эзэмшигчдээс хадгаламж эзэмшигч хуулийн этгээдийн тоог хассантай тэнцүү байхыг анхаарна уу")</f>
        <v/>
      </c>
    </row>
    <row r="77" spans="1:6">
      <c r="A77" s="1395"/>
      <c r="B77" s="314" t="s">
        <v>56</v>
      </c>
      <c r="C77" s="298"/>
      <c r="D77" s="300" t="str">
        <f t="shared" si="4"/>
        <v>Утга нөхөх</v>
      </c>
    </row>
    <row r="78" spans="1:6">
      <c r="A78" s="1395"/>
      <c r="B78" s="314" t="s">
        <v>57</v>
      </c>
      <c r="C78" s="298"/>
      <c r="D78" s="300" t="str">
        <f t="shared" si="4"/>
        <v>Утга нөхөх</v>
      </c>
    </row>
    <row r="79" spans="1:6">
      <c r="A79" s="1395"/>
      <c r="B79" s="314" t="s">
        <v>58</v>
      </c>
      <c r="C79" s="298"/>
      <c r="D79" s="300" t="str">
        <f t="shared" si="4"/>
        <v>Утга нөхөх</v>
      </c>
    </row>
    <row r="80" spans="1:6">
      <c r="A80" s="1395"/>
      <c r="B80" s="314" t="s">
        <v>59</v>
      </c>
      <c r="C80" s="298"/>
      <c r="D80" s="300" t="str">
        <f t="shared" si="4"/>
        <v>Утга нөхөх</v>
      </c>
    </row>
    <row r="81" spans="1:12" ht="15.75" thickBot="1">
      <c r="A81" s="1395"/>
      <c r="B81" s="314" t="s">
        <v>60</v>
      </c>
      <c r="C81" s="298"/>
      <c r="D81" s="300" t="str">
        <f t="shared" si="4"/>
        <v>Утга нөхөх</v>
      </c>
    </row>
    <row r="82" spans="1:12" ht="15.75" thickBot="1">
      <c r="A82" s="342">
        <v>13</v>
      </c>
      <c r="B82" s="1047" t="s">
        <v>89</v>
      </c>
      <c r="C82" s="1049"/>
      <c r="D82" s="300" t="str">
        <f t="shared" si="4"/>
        <v>Утга нөхөх</v>
      </c>
    </row>
    <row r="83" spans="1:12" ht="15.75" thickBot="1">
      <c r="A83" s="1396">
        <v>14</v>
      </c>
      <c r="B83" s="328" t="s">
        <v>90</v>
      </c>
      <c r="C83" s="325"/>
    </row>
    <row r="84" spans="1:12">
      <c r="A84" s="1397"/>
      <c r="B84" s="329" t="s">
        <v>64</v>
      </c>
      <c r="C84" s="299"/>
      <c r="D84" s="300" t="str">
        <f t="shared" ref="D84:D85" si="5">+IF(C84="","Утга нөхөх","")</f>
        <v>Утга нөхөх</v>
      </c>
    </row>
    <row r="85" spans="1:12">
      <c r="A85" s="1397"/>
      <c r="B85" s="330" t="s">
        <v>65</v>
      </c>
      <c r="C85" s="299"/>
      <c r="D85" s="300" t="str">
        <f t="shared" si="5"/>
        <v>Утга нөхөх</v>
      </c>
    </row>
    <row r="86" spans="1:12">
      <c r="A86" s="1397"/>
      <c r="B86" s="330" t="s">
        <v>66</v>
      </c>
      <c r="C86" s="299"/>
      <c r="D86" s="300" t="str">
        <f>+IF(C86="",IF(C15&gt;0,"Утга нөхөх",""),"")</f>
        <v/>
      </c>
      <c r="L86" s="343"/>
    </row>
    <row r="87" spans="1:12" ht="15.75" thickBot="1">
      <c r="A87" s="1398"/>
      <c r="B87" s="330" t="s">
        <v>67</v>
      </c>
      <c r="C87" s="299"/>
      <c r="D87" s="300" t="str">
        <f>+IF(C87="",IF(C86&gt;0,"Утга нөхөх",""),"")</f>
        <v/>
      </c>
    </row>
    <row r="88" spans="1:12" ht="15.75" thickBot="1">
      <c r="A88" s="951" t="s">
        <v>91</v>
      </c>
      <c r="B88" s="1375" t="s">
        <v>92</v>
      </c>
      <c r="C88" s="1376"/>
    </row>
    <row r="89" spans="1:12">
      <c r="A89" s="1377">
        <v>15</v>
      </c>
      <c r="B89" s="952" t="s">
        <v>93</v>
      </c>
      <c r="C89" s="953"/>
      <c r="D89" s="300" t="str">
        <f>+IF(C89="","Утга нөхөх","")</f>
        <v>Утга нөхөх</v>
      </c>
    </row>
    <row r="90" spans="1:12">
      <c r="A90" s="1378"/>
      <c r="B90" s="344" t="s">
        <v>94</v>
      </c>
      <c r="C90" s="285"/>
      <c r="D90" s="300" t="str">
        <f>+IF(C90="","Утга нөхөх","")</f>
        <v>Утга нөхөх</v>
      </c>
    </row>
    <row r="91" spans="1:12">
      <c r="A91" s="1378"/>
      <c r="B91" s="345" t="s">
        <v>95</v>
      </c>
      <c r="C91" s="285"/>
      <c r="D91" s="300" t="str">
        <f>+IF(C91="","Утга сонгох","")</f>
        <v>Утга сонгох</v>
      </c>
    </row>
    <row r="92" spans="1:12" ht="15.75" thickBot="1">
      <c r="A92" s="1379"/>
      <c r="B92" s="362" t="s">
        <v>96</v>
      </c>
      <c r="C92" s="302"/>
      <c r="D92" s="300" t="str">
        <f>+IF(C92="",IF(C91="Тийм","Утга нөхөх",""),"")</f>
        <v/>
      </c>
    </row>
    <row r="93" spans="1:12" ht="15.75" thickBot="1">
      <c r="A93" s="346">
        <v>16</v>
      </c>
      <c r="B93" s="347" t="s">
        <v>97</v>
      </c>
      <c r="C93" s="303"/>
      <c r="D93" s="300" t="str">
        <f>+IF(C93="","Утга нөхөх","")</f>
        <v>Утга нөхөх</v>
      </c>
    </row>
    <row r="94" spans="1:12">
      <c r="A94" s="1392">
        <v>17</v>
      </c>
      <c r="B94" s="348" t="s">
        <v>98</v>
      </c>
      <c r="C94" s="285"/>
      <c r="D94" s="300" t="str">
        <f>+IF(C94="","Утга сонгох","")</f>
        <v>Утга сонгох</v>
      </c>
    </row>
    <row r="95" spans="1:12" ht="15.75" thickBot="1">
      <c r="A95" s="1393"/>
      <c r="B95" s="349" t="s">
        <v>99</v>
      </c>
      <c r="C95" s="304"/>
      <c r="D95" s="300" t="str">
        <f>+IF(C95="",IF(C94="Тийм","Утга нөхөх",""),"")</f>
        <v/>
      </c>
    </row>
    <row r="96" spans="1:12" ht="15.75" thickBot="1">
      <c r="A96" s="1381">
        <v>18</v>
      </c>
      <c r="B96" s="1383" t="s">
        <v>100</v>
      </c>
      <c r="C96" s="1384"/>
    </row>
    <row r="97" spans="1:4">
      <c r="A97" s="1382"/>
      <c r="B97" s="350" t="s">
        <v>101</v>
      </c>
      <c r="C97" s="292"/>
      <c r="D97" s="300" t="str">
        <f>+IF(C97&gt;0,"","Утга нөхөх")</f>
        <v>Утга нөхөх</v>
      </c>
    </row>
    <row r="98" spans="1:4" ht="15.75" thickBot="1">
      <c r="A98" s="1382"/>
      <c r="B98" s="351" t="s">
        <v>102</v>
      </c>
      <c r="C98" s="293"/>
      <c r="D98" s="300" t="str">
        <f>+IF(C98&gt;0,"","Тус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99" spans="1:4" ht="15.75" thickBot="1">
      <c r="A99" s="352" t="s">
        <v>103</v>
      </c>
      <c r="B99" s="1385" t="s">
        <v>104</v>
      </c>
      <c r="C99" s="1386"/>
    </row>
    <row r="100" spans="1:4" ht="15.75" thickBot="1">
      <c r="A100" s="1387">
        <v>19</v>
      </c>
      <c r="B100" s="1390" t="s">
        <v>105</v>
      </c>
      <c r="C100" s="1391"/>
    </row>
    <row r="101" spans="1:4">
      <c r="A101" s="1388"/>
      <c r="B101" s="353" t="s">
        <v>106</v>
      </c>
      <c r="C101" s="294"/>
      <c r="D101" s="300" t="str">
        <f>+IF(C101&gt;0,"",IF(C101="","Утга нөхөх",""))</f>
        <v>Утга нөхөх</v>
      </c>
    </row>
    <row r="102" spans="1:4" ht="15.75" thickBot="1">
      <c r="A102" s="1388"/>
      <c r="B102" s="354" t="s">
        <v>107</v>
      </c>
      <c r="C102" s="295"/>
      <c r="D102" s="300" t="str">
        <f>IF(C102="",IF(C101&gt;0,"Утга нөхөх",""),"")</f>
        <v/>
      </c>
    </row>
    <row r="103" spans="1:4" ht="15.75" thickBot="1">
      <c r="A103" s="1388"/>
      <c r="B103" s="1390" t="s">
        <v>108</v>
      </c>
      <c r="C103" s="1391"/>
    </row>
    <row r="104" spans="1:4">
      <c r="A104" s="1388"/>
      <c r="B104" s="353" t="s">
        <v>109</v>
      </c>
      <c r="C104" s="294"/>
      <c r="D104" s="300" t="str">
        <f>+IF(C104&gt;0,"",IF(C104="","Утга нөхөх",""))</f>
        <v>Утга нөхөх</v>
      </c>
    </row>
    <row r="105" spans="1:4" ht="15.75" thickBot="1">
      <c r="A105" s="1389"/>
      <c r="B105" s="355" t="s">
        <v>110</v>
      </c>
      <c r="C105" s="295"/>
      <c r="D105" s="300" t="str">
        <f>IF(C105="",IF(C104&gt;0,"Утга нөхөх",""),"")</f>
        <v/>
      </c>
    </row>
    <row r="109" spans="1:4">
      <c r="A109" s="1380" t="s">
        <v>111</v>
      </c>
      <c r="B109" s="1380"/>
      <c r="C109" s="1380"/>
    </row>
    <row r="110" spans="1:4">
      <c r="A110" s="356"/>
      <c r="B110" s="357" t="s">
        <v>112</v>
      </c>
      <c r="C110" s="356"/>
    </row>
    <row r="111" spans="1:4">
      <c r="A111" s="356"/>
      <c r="B111" s="356"/>
      <c r="C111" s="356"/>
    </row>
    <row r="112" spans="1:4">
      <c r="A112" s="356"/>
      <c r="B112" s="356" t="s">
        <v>113</v>
      </c>
      <c r="C112" s="947" t="s">
        <v>114</v>
      </c>
    </row>
    <row r="113" spans="1:3">
      <c r="A113" s="356"/>
      <c r="B113" s="356"/>
      <c r="C113" s="358"/>
    </row>
    <row r="114" spans="1:3">
      <c r="A114" s="356"/>
      <c r="B114" s="356" t="s">
        <v>115</v>
      </c>
      <c r="C114" s="947" t="s">
        <v>114</v>
      </c>
    </row>
  </sheetData>
  <sheetProtection algorithmName="SHA-512" hashValue="CCgEqNrhuS+dkH0mWZt6TRau6Z8k2nhc6utVON0AQkDAjZHojFdh507VCrlewDKEtlpTfqbzMeBFHsS1h9EzJA==" saltValue="MIfg3KMNxrSs6tbhNJuXVQ==" spinCount="100000" sheet="1" objects="1" scenarios="1"/>
  <mergeCells count="32">
    <mergeCell ref="A4:C4"/>
    <mergeCell ref="A5:C5"/>
    <mergeCell ref="A6:C6"/>
    <mergeCell ref="A8:B8"/>
    <mergeCell ref="A9:A10"/>
    <mergeCell ref="B9:B10"/>
    <mergeCell ref="C9:C10"/>
    <mergeCell ref="A76:A81"/>
    <mergeCell ref="A83:A87"/>
    <mergeCell ref="B59:C59"/>
    <mergeCell ref="A60:A70"/>
    <mergeCell ref="B11:C11"/>
    <mergeCell ref="A12:A17"/>
    <mergeCell ref="A18:A22"/>
    <mergeCell ref="A23:A28"/>
    <mergeCell ref="B29:C29"/>
    <mergeCell ref="A30:A34"/>
    <mergeCell ref="A35:A41"/>
    <mergeCell ref="A42:A46"/>
    <mergeCell ref="A47:A52"/>
    <mergeCell ref="A54:A58"/>
    <mergeCell ref="A71:A75"/>
    <mergeCell ref="B88:C88"/>
    <mergeCell ref="A89:A92"/>
    <mergeCell ref="A109:C109"/>
    <mergeCell ref="A96:A98"/>
    <mergeCell ref="B96:C96"/>
    <mergeCell ref="B99:C99"/>
    <mergeCell ref="A100:A105"/>
    <mergeCell ref="B100:C100"/>
    <mergeCell ref="B103:C103"/>
    <mergeCell ref="A94:A95"/>
  </mergeCells>
  <dataValidations count="10">
    <dataValidation type="list" allowBlank="1" showInputMessage="1" showErrorMessage="1" sqref="C91 C94" xr:uid="{E81975DA-5645-4417-8BB6-9F70BC4BF7EC}">
      <formula1>"Тийм,Үгүй"</formula1>
    </dataValidation>
    <dataValidation type="custom" allowBlank="1" showInputMessage="1" showErrorMessage="1" error="Гишүүн хуулийн этгээдийн тоог нөхнө үү._x000a_" sqref="C33:C34" xr:uid="{7F4FF21C-92D0-4076-94CA-D358349648AD}">
      <formula1>C15&gt;0</formula1>
    </dataValidation>
    <dataValidation type="custom" allowBlank="1" showInputMessage="1" showErrorMessage="1" sqref="C18" xr:uid="{5EB3D71F-2173-47EE-8D42-C3722C22C3F0}">
      <formula1>AND(SUM(C19:C22)&lt;=SUM(C13:C14),C18&lt;=SUM(C13:C14))</formula1>
    </dataValidation>
    <dataValidation type="custom" allowBlank="1" showInputMessage="1" showErrorMessage="1" error="Гишүүн хуулийн этгээдийн тоог нөхнө үү_x000a_" sqref="C57:C58" xr:uid="{65EFB9F3-3187-4728-8AAE-DD93A133FF88}">
      <formula1>C15&gt;0</formula1>
    </dataValidation>
    <dataValidation type="custom" allowBlank="1" showInputMessage="1" showErrorMessage="1" error="Гишүүн хуулийн этгээдийн тоог нөхнө үү._x000a_" sqref="C64:C65" xr:uid="{23AF4D33-24D2-4F83-B6B3-5908A28DC935}">
      <formula1>C15&gt;0</formula1>
    </dataValidation>
    <dataValidation type="custom" allowBlank="1" showInputMessage="1" showErrorMessage="1" error="Гишүүн хуулийн этгээдийн тоог нөхнө үү._x000a_" sqref="C69:C70" xr:uid="{FF8ABFA2-6439-4DA6-861E-A2A20E55B573}">
      <formula1>C15&gt;0</formula1>
    </dataValidation>
    <dataValidation type="custom" allowBlank="1" showInputMessage="1" showErrorMessage="1" error="Гишүүн хуулийн этгээдийн тоог нөхнө үү._x000a_" sqref="C86:C87" xr:uid="{2BC81B67-726A-4D6F-AB84-1B92CA585E7D}">
      <formula1>C15&gt;0</formula1>
    </dataValidation>
    <dataValidation type="custom" allowBlank="1" showInputMessage="1" showErrorMessage="1" error="Салбаргүй гэж сонгосон байна." sqref="C92" xr:uid="{2BA9777B-30FF-4E10-900F-BA36BE64A055}">
      <formula1>C91="Тийм"</formula1>
    </dataValidation>
    <dataValidation type="custom" allowBlank="1" showInputMessage="1" showErrorMessage="1" error="Програмгүй гэж сонгосон байна." sqref="C95" xr:uid="{48F8F5BB-A4AA-47A9-906F-551D71E15D21}">
      <formula1>C94="Тийм"</formula1>
    </dataValidation>
    <dataValidation type="custom" allowBlank="1" showInputMessage="1" showErrorMessage="1" error="Гүйлгээний тоог бичнэ үү." sqref="C102 C105" xr:uid="{D310A1B8-9BD8-46A0-A0F2-7F9A6804E304}">
      <formula1>C101&gt;0</formula1>
    </dataValidation>
  </dataValidation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77559-B870-40CD-814B-AA9DAC5D1BC5}">
  <dimension ref="A1:L252"/>
  <sheetViews>
    <sheetView zoomScale="85" zoomScaleNormal="85" workbookViewId="0">
      <pane ySplit="9" topLeftCell="A223" activePane="bottomLeft" state="frozen"/>
      <selection pane="bottomLeft" activeCell="F18" sqref="F18"/>
    </sheetView>
  </sheetViews>
  <sheetFormatPr defaultRowHeight="15"/>
  <cols>
    <col min="1" max="1" width="4.28515625" style="166" customWidth="1"/>
    <col min="2" max="2" width="60" style="166" customWidth="1"/>
    <col min="3" max="3" width="11.42578125" style="166" bestFit="1" customWidth="1"/>
    <col min="4" max="4" width="22.140625" style="752" customWidth="1"/>
    <col min="5" max="5" width="4.5703125" style="166" customWidth="1"/>
    <col min="6" max="6" width="67.140625" style="166" bestFit="1" customWidth="1"/>
    <col min="7" max="7" width="11.42578125" style="166" bestFit="1" customWidth="1"/>
    <col min="8" max="8" width="22.140625" style="752" customWidth="1"/>
    <col min="9" max="16384" width="9.140625" style="166"/>
  </cols>
  <sheetData>
    <row r="1" spans="1:8">
      <c r="A1" s="1"/>
      <c r="B1" s="1"/>
      <c r="C1" s="1"/>
      <c r="D1" s="921"/>
      <c r="E1" s="1"/>
      <c r="F1" s="1418"/>
      <c r="G1" s="1418"/>
      <c r="H1" s="1418"/>
    </row>
    <row r="2" spans="1:8">
      <c r="A2" s="1"/>
      <c r="B2" s="1"/>
      <c r="C2" s="1"/>
      <c r="D2" s="921"/>
      <c r="E2" s="1"/>
      <c r="F2" s="1418"/>
      <c r="G2" s="1418"/>
      <c r="H2" s="1418"/>
    </row>
    <row r="3" spans="1:8">
      <c r="A3" s="1"/>
      <c r="B3" s="1"/>
      <c r="C3" s="1"/>
      <c r="D3" s="921"/>
      <c r="E3" s="1"/>
      <c r="F3" s="58"/>
      <c r="G3" s="58"/>
      <c r="H3" s="922"/>
    </row>
    <row r="4" spans="1:8">
      <c r="A4" s="1419" t="s">
        <v>116</v>
      </c>
      <c r="B4" s="1419"/>
      <c r="C4" s="1419"/>
      <c r="D4" s="1419"/>
      <c r="E4" s="1419"/>
      <c r="F4" s="1419"/>
      <c r="G4" s="1419"/>
      <c r="H4" s="1419"/>
    </row>
    <row r="5" spans="1:8">
      <c r="A5" s="1420" t="str">
        <f>+STATISTICS!A5</f>
        <v>ХАДГАЛАМЖ, ЗЭЭЛИЙН ХОРШООНЫ НЭР</v>
      </c>
      <c r="B5" s="1420"/>
      <c r="C5" s="1420"/>
      <c r="D5" s="1420"/>
      <c r="E5" s="1420"/>
      <c r="F5" s="1420"/>
      <c r="G5" s="1420"/>
      <c r="H5" s="1420"/>
    </row>
    <row r="6" spans="1:8">
      <c r="A6" s="1419" t="s">
        <v>38</v>
      </c>
      <c r="B6" s="1419"/>
      <c r="C6" s="1419"/>
      <c r="D6" s="1419"/>
      <c r="E6" s="1419"/>
      <c r="F6" s="1419"/>
      <c r="G6" s="1419"/>
      <c r="H6" s="1419"/>
    </row>
    <row r="7" spans="1:8">
      <c r="A7" s="5"/>
      <c r="B7" s="5"/>
      <c r="C7" s="5"/>
      <c r="D7" s="5"/>
      <c r="E7" s="5"/>
      <c r="F7" s="5"/>
      <c r="G7" s="5"/>
      <c r="H7" s="5"/>
    </row>
    <row r="8" spans="1:8" ht="15.75" thickBot="1">
      <c r="A8" s="275"/>
      <c r="B8" s="275"/>
      <c r="C8" s="2"/>
      <c r="D8" s="697"/>
      <c r="E8" s="3"/>
      <c r="F8" s="3"/>
      <c r="G8" s="3"/>
      <c r="H8" s="722" t="s">
        <v>117</v>
      </c>
    </row>
    <row r="9" spans="1:8" ht="15.75" customHeight="1" thickBot="1">
      <c r="A9" s="276"/>
      <c r="B9" s="277" t="s">
        <v>118</v>
      </c>
      <c r="C9" s="278" t="s">
        <v>119</v>
      </c>
      <c r="D9" s="698" t="s">
        <v>120</v>
      </c>
      <c r="E9" s="279"/>
      <c r="F9" s="280" t="s">
        <v>121</v>
      </c>
      <c r="G9" s="278" t="s">
        <v>119</v>
      </c>
      <c r="H9" s="723" t="s">
        <v>120</v>
      </c>
    </row>
    <row r="10" spans="1:8" ht="15.75" customHeight="1" thickBot="1">
      <c r="B10" s="281" t="s">
        <v>122</v>
      </c>
      <c r="C10" s="148">
        <v>100000</v>
      </c>
      <c r="D10" s="699">
        <f>ROUND(SUM(D11,D28,D53),2)</f>
        <v>0</v>
      </c>
      <c r="F10" s="281" t="s">
        <v>123</v>
      </c>
      <c r="G10" s="148">
        <v>200000</v>
      </c>
      <c r="H10" s="724">
        <f>ROUND(SUM(H11,H25,H41),2)</f>
        <v>0</v>
      </c>
    </row>
    <row r="11" spans="1:8" ht="15.75" customHeight="1" thickBot="1">
      <c r="B11" s="257" t="s">
        <v>124</v>
      </c>
      <c r="C11" s="168">
        <v>110000</v>
      </c>
      <c r="D11" s="700">
        <f>ROUND(SUM(D12,D15,D26),2)</f>
        <v>0</v>
      </c>
      <c r="F11" s="257" t="s">
        <v>125</v>
      </c>
      <c r="G11" s="168">
        <v>210000</v>
      </c>
      <c r="H11" s="725">
        <f>ROUND(SUM(H12,H15,H23),2)</f>
        <v>0</v>
      </c>
    </row>
    <row r="12" spans="1:8" ht="15.75" thickBot="1">
      <c r="A12" s="165"/>
      <c r="B12" s="267" t="s">
        <v>126</v>
      </c>
      <c r="C12" s="148">
        <v>111000</v>
      </c>
      <c r="D12" s="699">
        <f>ROUND(SUM(D13,D14),2)</f>
        <v>0</v>
      </c>
      <c r="E12" s="203"/>
      <c r="F12" s="233" t="s">
        <v>127</v>
      </c>
      <c r="G12" s="130">
        <v>211000</v>
      </c>
      <c r="H12" s="726">
        <f>ROUND(SUM(H13,H14),2)</f>
        <v>0</v>
      </c>
    </row>
    <row r="13" spans="1:8">
      <c r="A13" s="147"/>
      <c r="B13" s="162" t="s">
        <v>128</v>
      </c>
      <c r="C13" s="127">
        <v>111100</v>
      </c>
      <c r="D13" s="701"/>
      <c r="E13" s="203"/>
      <c r="F13" s="268" t="s">
        <v>127</v>
      </c>
      <c r="G13" s="263">
        <v>211100</v>
      </c>
      <c r="H13" s="727"/>
    </row>
    <row r="14" spans="1:8" ht="15.75" thickBot="1">
      <c r="A14" s="147"/>
      <c r="B14" s="164" t="s">
        <v>129</v>
      </c>
      <c r="C14" s="129">
        <v>111200</v>
      </c>
      <c r="D14" s="702"/>
      <c r="E14" s="181"/>
      <c r="F14" s="269" t="s">
        <v>130</v>
      </c>
      <c r="G14" s="259">
        <v>211200</v>
      </c>
      <c r="H14" s="728"/>
    </row>
    <row r="15" spans="1:8" ht="15.75" thickBot="1">
      <c r="A15" s="147"/>
      <c r="B15" s="139" t="s">
        <v>131</v>
      </c>
      <c r="C15" s="130">
        <v>112000</v>
      </c>
      <c r="D15" s="703">
        <f>ROUND(SUM(D16,D19,D22,D24),2)</f>
        <v>0</v>
      </c>
      <c r="E15" s="181"/>
      <c r="F15" s="233" t="s">
        <v>132</v>
      </c>
      <c r="G15" s="130">
        <v>212000</v>
      </c>
      <c r="H15" s="726">
        <f>ROUND(SUM(H16:H22),2)</f>
        <v>0</v>
      </c>
    </row>
    <row r="16" spans="1:8" ht="15.75" thickBot="1">
      <c r="A16" s="147"/>
      <c r="B16" s="199" t="s">
        <v>133</v>
      </c>
      <c r="C16" s="156">
        <v>112100</v>
      </c>
      <c r="D16" s="704">
        <f>ROUND(SUM(D17,D18),2)</f>
        <v>0</v>
      </c>
      <c r="E16" s="181"/>
      <c r="F16" s="211" t="s">
        <v>134</v>
      </c>
      <c r="G16" s="142">
        <v>212100</v>
      </c>
      <c r="H16" s="729">
        <v>0</v>
      </c>
    </row>
    <row r="17" spans="1:8">
      <c r="A17" s="147"/>
      <c r="B17" s="270" t="s">
        <v>135</v>
      </c>
      <c r="C17" s="146">
        <v>112110</v>
      </c>
      <c r="D17" s="705"/>
      <c r="E17" s="181"/>
      <c r="F17" s="189" t="s">
        <v>136</v>
      </c>
      <c r="G17" s="143">
        <v>212200</v>
      </c>
      <c r="H17" s="730">
        <v>0</v>
      </c>
    </row>
    <row r="18" spans="1:8" ht="15.75" thickBot="1">
      <c r="A18" s="147"/>
      <c r="B18" s="198" t="s">
        <v>137</v>
      </c>
      <c r="C18" s="144">
        <v>112120</v>
      </c>
      <c r="D18" s="702"/>
      <c r="E18" s="181"/>
      <c r="F18" s="189" t="s">
        <v>138</v>
      </c>
      <c r="G18" s="143">
        <v>212300</v>
      </c>
      <c r="H18" s="730">
        <v>0</v>
      </c>
    </row>
    <row r="19" spans="1:8" ht="15.75" thickBot="1">
      <c r="A19" s="147"/>
      <c r="B19" s="199" t="s">
        <v>139</v>
      </c>
      <c r="C19" s="156">
        <v>113000</v>
      </c>
      <c r="D19" s="704">
        <f>ROUND(SUM(D20,D21),2)</f>
        <v>0</v>
      </c>
      <c r="E19" s="181"/>
      <c r="F19" s="189" t="s">
        <v>140</v>
      </c>
      <c r="G19" s="143">
        <v>212400</v>
      </c>
      <c r="H19" s="730">
        <v>0</v>
      </c>
    </row>
    <row r="20" spans="1:8">
      <c r="A20" s="147"/>
      <c r="B20" s="271" t="s">
        <v>141</v>
      </c>
      <c r="C20" s="142">
        <v>113100</v>
      </c>
      <c r="D20" s="701"/>
      <c r="E20" s="181"/>
      <c r="F20" s="189" t="s">
        <v>142</v>
      </c>
      <c r="G20" s="143">
        <v>212500</v>
      </c>
      <c r="H20" s="730">
        <v>0</v>
      </c>
    </row>
    <row r="21" spans="1:8" ht="15.75" thickBot="1">
      <c r="A21" s="147"/>
      <c r="B21" s="272" t="s">
        <v>143</v>
      </c>
      <c r="C21" s="144">
        <v>113200</v>
      </c>
      <c r="D21" s="702"/>
      <c r="E21" s="181"/>
      <c r="F21" s="189" t="s">
        <v>144</v>
      </c>
      <c r="G21" s="143">
        <v>212600</v>
      </c>
      <c r="H21" s="730">
        <v>0</v>
      </c>
    </row>
    <row r="22" spans="1:8" ht="15.75" thickBot="1">
      <c r="A22" s="147"/>
      <c r="B22" s="139" t="s">
        <v>145</v>
      </c>
      <c r="C22" s="130">
        <v>114000</v>
      </c>
      <c r="D22" s="703">
        <f>ROUND(D23,2)</f>
        <v>0</v>
      </c>
      <c r="E22" s="181"/>
      <c r="F22" s="221" t="s">
        <v>146</v>
      </c>
      <c r="G22" s="144">
        <v>212700</v>
      </c>
      <c r="H22" s="731">
        <v>0</v>
      </c>
    </row>
    <row r="23" spans="1:8" ht="15.75" thickBot="1">
      <c r="A23" s="147"/>
      <c r="B23" s="242" t="s">
        <v>145</v>
      </c>
      <c r="C23" s="215">
        <v>114000</v>
      </c>
      <c r="D23" s="706"/>
      <c r="E23" s="181"/>
      <c r="F23" s="273" t="s">
        <v>147</v>
      </c>
      <c r="G23" s="145">
        <v>213000</v>
      </c>
      <c r="H23" s="732">
        <f>ROUND(H24,2)</f>
        <v>0</v>
      </c>
    </row>
    <row r="24" spans="1:8" ht="15.75" thickBot="1">
      <c r="A24" s="147"/>
      <c r="B24" s="139" t="s">
        <v>148</v>
      </c>
      <c r="C24" s="130">
        <v>115000</v>
      </c>
      <c r="D24" s="703">
        <f>ROUND(D25,2)</f>
        <v>0</v>
      </c>
      <c r="E24" s="246"/>
      <c r="F24" s="235" t="s">
        <v>147</v>
      </c>
      <c r="G24" s="146">
        <v>213000</v>
      </c>
      <c r="H24" s="727"/>
    </row>
    <row r="25" spans="1:8" ht="15.75" customHeight="1" thickBot="1">
      <c r="A25" s="241"/>
      <c r="B25" s="242" t="s">
        <v>148</v>
      </c>
      <c r="C25" s="172">
        <v>115000</v>
      </c>
      <c r="D25" s="707"/>
      <c r="F25" s="206" t="s">
        <v>149</v>
      </c>
      <c r="G25" s="168">
        <v>220000</v>
      </c>
      <c r="H25" s="725">
        <f>ROUND(SUM(H26,H33,H36,H39),2)</f>
        <v>0</v>
      </c>
    </row>
    <row r="26" spans="1:8" ht="26.25" thickBot="1">
      <c r="A26" s="241"/>
      <c r="B26" s="274" t="s">
        <v>150</v>
      </c>
      <c r="C26" s="130">
        <v>116000</v>
      </c>
      <c r="D26" s="703">
        <f>ROUND(D27,2)</f>
        <v>0</v>
      </c>
      <c r="F26" s="188" t="s">
        <v>151</v>
      </c>
      <c r="G26" s="130">
        <v>221000</v>
      </c>
      <c r="H26" s="726">
        <f>ROUND(SUM(H27,H30),2)</f>
        <v>0</v>
      </c>
    </row>
    <row r="27" spans="1:8" ht="26.25" thickBot="1">
      <c r="A27" s="258"/>
      <c r="B27" s="242" t="s">
        <v>150</v>
      </c>
      <c r="C27" s="215">
        <v>116000</v>
      </c>
      <c r="D27" s="706"/>
      <c r="E27" s="180"/>
      <c r="F27" s="957" t="s">
        <v>152</v>
      </c>
      <c r="G27" s="130">
        <v>221100</v>
      </c>
      <c r="H27" s="726">
        <f>ROUND(SUM(H28,H29),2)</f>
        <v>0</v>
      </c>
    </row>
    <row r="28" spans="1:8" ht="15.75" customHeight="1" thickBot="1">
      <c r="B28" s="257" t="s">
        <v>153</v>
      </c>
      <c r="C28" s="168">
        <v>120000</v>
      </c>
      <c r="D28" s="700">
        <f>ROUND(SUM(D29,D32,D35,-D45,D47,-D49,D51),2)</f>
        <v>0</v>
      </c>
      <c r="E28" s="181"/>
      <c r="F28" s="958" t="s">
        <v>154</v>
      </c>
      <c r="G28" s="266">
        <v>221110</v>
      </c>
      <c r="H28" s="729"/>
    </row>
    <row r="29" spans="1:8" ht="15.75" thickBot="1">
      <c r="A29" s="165"/>
      <c r="B29" s="139" t="s">
        <v>155</v>
      </c>
      <c r="C29" s="130">
        <v>121000</v>
      </c>
      <c r="D29" s="703">
        <f>ROUND(SUM(D30,D31),2)</f>
        <v>0</v>
      </c>
      <c r="E29" s="181"/>
      <c r="F29" s="959" t="s">
        <v>156</v>
      </c>
      <c r="G29" s="191">
        <v>221120</v>
      </c>
      <c r="H29" s="733"/>
    </row>
    <row r="30" spans="1:8" ht="15.75" thickBot="1">
      <c r="A30" s="147"/>
      <c r="B30" s="136" t="s">
        <v>157</v>
      </c>
      <c r="C30" s="142">
        <v>121100</v>
      </c>
      <c r="D30" s="701"/>
      <c r="E30" s="181"/>
      <c r="F30" s="957" t="s">
        <v>158</v>
      </c>
      <c r="G30" s="130">
        <v>221200</v>
      </c>
      <c r="H30" s="726">
        <f>ROUND(SUM(H31,H32),2)</f>
        <v>0</v>
      </c>
    </row>
    <row r="31" spans="1:8" ht="15.75" thickBot="1">
      <c r="A31" s="147"/>
      <c r="B31" s="141" t="s">
        <v>159</v>
      </c>
      <c r="C31" s="144">
        <v>121200</v>
      </c>
      <c r="D31" s="702"/>
      <c r="E31" s="181"/>
      <c r="F31" s="958" t="s">
        <v>160</v>
      </c>
      <c r="G31" s="142">
        <v>221210</v>
      </c>
      <c r="H31" s="729"/>
    </row>
    <row r="32" spans="1:8" ht="15.75" thickBot="1">
      <c r="A32" s="147"/>
      <c r="B32" s="139" t="s">
        <v>161</v>
      </c>
      <c r="C32" s="130">
        <v>122000</v>
      </c>
      <c r="D32" s="703">
        <f>ROUND(SUM(D33,D34),2)</f>
        <v>0</v>
      </c>
      <c r="E32" s="181"/>
      <c r="F32" s="960" t="s">
        <v>162</v>
      </c>
      <c r="G32" s="259">
        <v>221220</v>
      </c>
      <c r="H32" s="731"/>
    </row>
    <row r="33" spans="1:8" ht="15.75" thickBot="1">
      <c r="A33" s="147"/>
      <c r="B33" s="136" t="s">
        <v>163</v>
      </c>
      <c r="C33" s="142">
        <v>122100</v>
      </c>
      <c r="D33" s="701"/>
      <c r="E33" s="181"/>
      <c r="F33" s="957" t="s">
        <v>164</v>
      </c>
      <c r="G33" s="130">
        <v>222000</v>
      </c>
      <c r="H33" s="726">
        <f>ROUND(SUM(H34,H35),2)</f>
        <v>0</v>
      </c>
    </row>
    <row r="34" spans="1:8" ht="15.75" thickBot="1">
      <c r="A34" s="147"/>
      <c r="B34" s="141" t="s">
        <v>159</v>
      </c>
      <c r="C34" s="144">
        <v>122200</v>
      </c>
      <c r="D34" s="702"/>
      <c r="E34" s="181"/>
      <c r="F34" s="961" t="s">
        <v>165</v>
      </c>
      <c r="G34" s="142">
        <v>222010</v>
      </c>
      <c r="H34" s="729"/>
    </row>
    <row r="35" spans="1:8" ht="15.75" thickBot="1">
      <c r="A35" s="147"/>
      <c r="B35" s="139" t="s">
        <v>166</v>
      </c>
      <c r="C35" s="130">
        <v>123000</v>
      </c>
      <c r="D35" s="703">
        <f>ROUND(SUM(D36,D39,D42),2)</f>
        <v>0</v>
      </c>
      <c r="E35" s="181"/>
      <c r="F35" s="959" t="s">
        <v>167</v>
      </c>
      <c r="G35" s="174">
        <v>222020</v>
      </c>
      <c r="H35" s="733"/>
    </row>
    <row r="36" spans="1:8" ht="26.25" thickBot="1">
      <c r="A36" s="147"/>
      <c r="B36" s="260" t="s">
        <v>168</v>
      </c>
      <c r="C36" s="156">
        <v>123100</v>
      </c>
      <c r="D36" s="704">
        <f>ROUND(SUM(D37,D38),2)</f>
        <v>0</v>
      </c>
      <c r="E36" s="181"/>
      <c r="F36" s="957" t="s">
        <v>169</v>
      </c>
      <c r="G36" s="130">
        <v>223000</v>
      </c>
      <c r="H36" s="726">
        <f>ROUND(SUM(H37,H38),2)</f>
        <v>0</v>
      </c>
    </row>
    <row r="37" spans="1:8">
      <c r="A37" s="147"/>
      <c r="B37" s="136" t="s">
        <v>170</v>
      </c>
      <c r="C37" s="142">
        <v>123110</v>
      </c>
      <c r="D37" s="701"/>
      <c r="E37" s="181"/>
      <c r="F37" s="962" t="s">
        <v>165</v>
      </c>
      <c r="G37" s="176">
        <v>223010</v>
      </c>
      <c r="H37" s="734"/>
    </row>
    <row r="38" spans="1:8" ht="15.75" thickBot="1">
      <c r="A38" s="147"/>
      <c r="B38" s="141" t="s">
        <v>171</v>
      </c>
      <c r="C38" s="144">
        <v>123120</v>
      </c>
      <c r="D38" s="702"/>
      <c r="E38" s="181"/>
      <c r="F38" s="959" t="s">
        <v>167</v>
      </c>
      <c r="G38" s="174">
        <v>223020</v>
      </c>
      <c r="H38" s="733"/>
    </row>
    <row r="39" spans="1:8" ht="15.75" thickBot="1">
      <c r="A39" s="147"/>
      <c r="B39" s="260" t="s">
        <v>172</v>
      </c>
      <c r="C39" s="156">
        <v>123200</v>
      </c>
      <c r="D39" s="704">
        <f>ROUND(SUM(D40,D41),2)</f>
        <v>0</v>
      </c>
      <c r="E39" s="246"/>
      <c r="F39" s="228" t="s">
        <v>173</v>
      </c>
      <c r="G39" s="145">
        <v>224000</v>
      </c>
      <c r="H39" s="732">
        <f>ROUND(H40,2)</f>
        <v>0</v>
      </c>
    </row>
    <row r="40" spans="1:8" ht="15.75" customHeight="1" thickBot="1">
      <c r="A40" s="147"/>
      <c r="B40" s="136" t="s">
        <v>170</v>
      </c>
      <c r="C40" s="142">
        <v>123210</v>
      </c>
      <c r="D40" s="701">
        <v>0</v>
      </c>
      <c r="E40" s="180"/>
      <c r="F40" s="261" t="s">
        <v>173</v>
      </c>
      <c r="G40" s="262">
        <v>224000</v>
      </c>
      <c r="H40" s="727"/>
    </row>
    <row r="41" spans="1:8" ht="15.75" thickBot="1">
      <c r="A41" s="147"/>
      <c r="B41" s="141" t="s">
        <v>171</v>
      </c>
      <c r="C41" s="144">
        <v>123220</v>
      </c>
      <c r="D41" s="702"/>
      <c r="F41" s="206" t="s">
        <v>174</v>
      </c>
      <c r="G41" s="168">
        <v>230000</v>
      </c>
      <c r="H41" s="725">
        <f>ROUND(SUM(H42,H44,H47,H49,H51),2)</f>
        <v>0</v>
      </c>
    </row>
    <row r="42" spans="1:8" ht="15.75" thickBot="1">
      <c r="A42" s="147"/>
      <c r="B42" s="260" t="s">
        <v>175</v>
      </c>
      <c r="C42" s="156">
        <v>123300</v>
      </c>
      <c r="D42" s="704">
        <f>ROUND(SUM(D43,D44),2)</f>
        <v>0</v>
      </c>
      <c r="E42" s="203"/>
      <c r="F42" s="228" t="s">
        <v>176</v>
      </c>
      <c r="G42" s="145">
        <v>231000</v>
      </c>
      <c r="H42" s="732">
        <f>ROUND(H43,2)</f>
        <v>0</v>
      </c>
    </row>
    <row r="43" spans="1:8" ht="15.75" thickBot="1">
      <c r="A43" s="147"/>
      <c r="B43" s="136" t="s">
        <v>170</v>
      </c>
      <c r="C43" s="142">
        <v>123310</v>
      </c>
      <c r="D43" s="701"/>
      <c r="E43" s="180"/>
      <c r="F43" s="214" t="s">
        <v>176</v>
      </c>
      <c r="G43" s="215">
        <v>231000</v>
      </c>
      <c r="H43" s="735"/>
    </row>
    <row r="44" spans="1:8" ht="15.75" thickBot="1">
      <c r="A44" s="147"/>
      <c r="B44" s="141" t="s">
        <v>171</v>
      </c>
      <c r="C44" s="129">
        <v>123320</v>
      </c>
      <c r="D44" s="702"/>
      <c r="E44" s="181"/>
      <c r="F44" s="223" t="s">
        <v>177</v>
      </c>
      <c r="G44" s="224">
        <v>232000</v>
      </c>
      <c r="H44" s="736">
        <f>ROUND(SUM(H45,H46),2)</f>
        <v>0</v>
      </c>
    </row>
    <row r="45" spans="1:8" ht="15.75" thickBot="1">
      <c r="A45" s="147"/>
      <c r="B45" s="255" t="s">
        <v>178</v>
      </c>
      <c r="C45" s="161">
        <v>124000</v>
      </c>
      <c r="D45" s="703">
        <f>ROUND(D46,2)</f>
        <v>0</v>
      </c>
      <c r="E45" s="181"/>
      <c r="F45" s="211" t="s">
        <v>179</v>
      </c>
      <c r="G45" s="142">
        <v>232010</v>
      </c>
      <c r="H45" s="729"/>
    </row>
    <row r="46" spans="1:8" ht="15.75" thickBot="1">
      <c r="A46" s="147"/>
      <c r="B46" s="236" t="s">
        <v>178</v>
      </c>
      <c r="C46" s="193">
        <v>124000</v>
      </c>
      <c r="D46" s="706"/>
      <c r="E46" s="181"/>
      <c r="F46" s="221" t="s">
        <v>180</v>
      </c>
      <c r="G46" s="144">
        <v>232020</v>
      </c>
      <c r="H46" s="731"/>
    </row>
    <row r="47" spans="1:8" ht="15.75" thickBot="1">
      <c r="A47" s="147"/>
      <c r="B47" s="130" t="s">
        <v>181</v>
      </c>
      <c r="C47" s="130">
        <v>125000</v>
      </c>
      <c r="D47" s="703">
        <f>ROUND(D48,2)</f>
        <v>0</v>
      </c>
      <c r="E47" s="181"/>
      <c r="F47" s="223" t="s">
        <v>182</v>
      </c>
      <c r="G47" s="224">
        <v>233000</v>
      </c>
      <c r="H47" s="736">
        <f>ROUND(H48,2)</f>
        <v>0</v>
      </c>
    </row>
    <row r="48" spans="1:8" ht="15.75" thickBot="1">
      <c r="A48" s="147"/>
      <c r="B48" s="236" t="s">
        <v>181</v>
      </c>
      <c r="C48" s="193">
        <v>125000</v>
      </c>
      <c r="D48" s="705"/>
      <c r="E48" s="181"/>
      <c r="F48" s="214" t="s">
        <v>183</v>
      </c>
      <c r="G48" s="215">
        <v>233100</v>
      </c>
      <c r="H48" s="735"/>
    </row>
    <row r="49" spans="1:12" ht="15.75" thickBot="1">
      <c r="A49" s="147"/>
      <c r="B49" s="255" t="s">
        <v>184</v>
      </c>
      <c r="C49" s="145">
        <v>126000</v>
      </c>
      <c r="D49" s="703">
        <f>ROUND(D50,2)</f>
        <v>0</v>
      </c>
      <c r="E49" s="181"/>
      <c r="F49" s="223" t="s">
        <v>185</v>
      </c>
      <c r="G49" s="224">
        <v>234000</v>
      </c>
      <c r="H49" s="736">
        <f>ROUND(H50,2)</f>
        <v>0</v>
      </c>
    </row>
    <row r="50" spans="1:12" ht="15.75" thickBot="1">
      <c r="A50" s="241"/>
      <c r="B50" s="264" t="s">
        <v>184</v>
      </c>
      <c r="C50" s="193">
        <v>126000</v>
      </c>
      <c r="D50" s="707"/>
      <c r="E50" s="181"/>
      <c r="F50" s="214" t="s">
        <v>185</v>
      </c>
      <c r="G50" s="215">
        <v>234000</v>
      </c>
      <c r="H50" s="735"/>
    </row>
    <row r="51" spans="1:12" ht="26.25" thickBot="1">
      <c r="A51" s="265"/>
      <c r="B51" s="130" t="s">
        <v>186</v>
      </c>
      <c r="C51" s="130">
        <v>127000</v>
      </c>
      <c r="D51" s="703">
        <f>ROUND(D52,2)</f>
        <v>0</v>
      </c>
      <c r="E51" s="181"/>
      <c r="F51" s="223" t="s">
        <v>187</v>
      </c>
      <c r="G51" s="224">
        <v>235000</v>
      </c>
      <c r="H51" s="736">
        <f>ROUND(H52,2)</f>
        <v>0</v>
      </c>
    </row>
    <row r="52" spans="1:12" ht="26.25" customHeight="1" thickBot="1">
      <c r="A52" s="258"/>
      <c r="B52" s="179" t="s">
        <v>186</v>
      </c>
      <c r="C52" s="177">
        <v>127000</v>
      </c>
      <c r="D52" s="707"/>
      <c r="E52" s="246"/>
      <c r="F52" s="235" t="s">
        <v>187</v>
      </c>
      <c r="G52" s="146">
        <v>235000</v>
      </c>
      <c r="H52" s="727"/>
    </row>
    <row r="53" spans="1:12" ht="15.75" customHeight="1" thickBot="1">
      <c r="B53" s="257" t="s">
        <v>188</v>
      </c>
      <c r="C53" s="168">
        <v>130000</v>
      </c>
      <c r="D53" s="700">
        <f>ROUND(SUM(D54,-D57,D59,D61,D63,D65,D69),2)</f>
        <v>0</v>
      </c>
      <c r="F53" s="206" t="s">
        <v>189</v>
      </c>
      <c r="G53" s="168">
        <v>240000</v>
      </c>
      <c r="H53" s="725">
        <f>ROUND(SUM(H54,H59,H61,H64,H66,H68,H77),2)</f>
        <v>0</v>
      </c>
    </row>
    <row r="54" spans="1:12" ht="15.75" thickBot="1">
      <c r="A54" s="165"/>
      <c r="B54" s="130" t="s">
        <v>190</v>
      </c>
      <c r="C54" s="130">
        <v>131000</v>
      </c>
      <c r="D54" s="703">
        <f>ROUND(SUM(D55,D56),2)</f>
        <v>0</v>
      </c>
      <c r="E54" s="252"/>
      <c r="F54" s="233" t="s">
        <v>191</v>
      </c>
      <c r="G54" s="130">
        <v>241000</v>
      </c>
      <c r="H54" s="726">
        <f>+ROUND(SUM(H55:H58),2)</f>
        <v>0</v>
      </c>
    </row>
    <row r="55" spans="1:12">
      <c r="A55" s="147"/>
      <c r="B55" s="136" t="s">
        <v>192</v>
      </c>
      <c r="C55" s="142">
        <v>131100</v>
      </c>
      <c r="D55" s="701"/>
      <c r="E55" s="252"/>
      <c r="F55" s="179" t="s">
        <v>193</v>
      </c>
      <c r="G55" s="102">
        <v>241100</v>
      </c>
      <c r="H55" s="737"/>
      <c r="L55" s="759"/>
    </row>
    <row r="56" spans="1:12" ht="15.75" thickBot="1">
      <c r="A56" s="147"/>
      <c r="B56" s="164" t="s">
        <v>194</v>
      </c>
      <c r="C56" s="144">
        <v>131200</v>
      </c>
      <c r="D56" s="702"/>
      <c r="E56" s="252"/>
      <c r="F56" s="247" t="s">
        <v>195</v>
      </c>
      <c r="G56" s="102">
        <v>241200</v>
      </c>
      <c r="H56" s="737"/>
    </row>
    <row r="57" spans="1:12" ht="15.75" thickBot="1">
      <c r="A57" s="147"/>
      <c r="B57" s="255" t="s">
        <v>196</v>
      </c>
      <c r="C57" s="255">
        <v>132000</v>
      </c>
      <c r="D57" s="708">
        <f>+ROUND(D58,2)</f>
        <v>0</v>
      </c>
      <c r="E57" s="252"/>
      <c r="F57" s="247" t="s">
        <v>197</v>
      </c>
      <c r="G57" s="102">
        <v>241300</v>
      </c>
      <c r="H57" s="737"/>
    </row>
    <row r="58" spans="1:12" ht="15.75" thickBot="1">
      <c r="A58" s="147"/>
      <c r="B58" s="254" t="s">
        <v>196</v>
      </c>
      <c r="C58" s="232">
        <v>132000</v>
      </c>
      <c r="D58" s="709"/>
      <c r="E58" s="252"/>
      <c r="F58" s="256" t="s">
        <v>198</v>
      </c>
      <c r="G58" s="102">
        <v>241400</v>
      </c>
      <c r="H58" s="737"/>
    </row>
    <row r="59" spans="1:12" ht="15.75" thickBot="1">
      <c r="A59" s="147"/>
      <c r="B59" s="238" t="s">
        <v>199</v>
      </c>
      <c r="C59" s="213">
        <v>133000</v>
      </c>
      <c r="D59" s="710">
        <f>ROUND(D60,2)</f>
        <v>0</v>
      </c>
      <c r="E59" s="252"/>
      <c r="F59" s="253" t="s">
        <v>200</v>
      </c>
      <c r="G59" s="140">
        <v>242000</v>
      </c>
      <c r="H59" s="703">
        <f>ROUND(H60,2)</f>
        <v>0</v>
      </c>
    </row>
    <row r="60" spans="1:12" ht="15.75" thickBot="1">
      <c r="A60" s="147"/>
      <c r="B60" s="179" t="s">
        <v>199</v>
      </c>
      <c r="C60" s="177">
        <v>133000</v>
      </c>
      <c r="D60" s="705"/>
      <c r="E60" s="249"/>
      <c r="F60" s="250" t="s">
        <v>200</v>
      </c>
      <c r="G60" s="251">
        <v>242000</v>
      </c>
      <c r="H60" s="738"/>
    </row>
    <row r="61" spans="1:12" ht="15.75" thickBot="1">
      <c r="A61" s="147"/>
      <c r="B61" s="130" t="s">
        <v>201</v>
      </c>
      <c r="C61" s="130">
        <v>134000</v>
      </c>
      <c r="D61" s="703">
        <f>ROUND(D62,2)</f>
        <v>0</v>
      </c>
      <c r="E61" s="248"/>
      <c r="F61" s="139" t="s">
        <v>202</v>
      </c>
      <c r="G61" s="130">
        <v>243000</v>
      </c>
      <c r="H61" s="703">
        <f>ROUND(SUM(H62,H63),2)</f>
        <v>0</v>
      </c>
    </row>
    <row r="62" spans="1:12" ht="15.75" thickBot="1">
      <c r="A62" s="147"/>
      <c r="B62" s="247" t="s">
        <v>201</v>
      </c>
      <c r="C62" s="102">
        <v>134000</v>
      </c>
      <c r="D62" s="711"/>
      <c r="E62" s="180"/>
      <c r="F62" s="222" t="s">
        <v>203</v>
      </c>
      <c r="G62" s="176">
        <v>243100</v>
      </c>
      <c r="H62" s="734"/>
    </row>
    <row r="63" spans="1:12" ht="15.75" thickBot="1">
      <c r="A63" s="147"/>
      <c r="B63" s="130" t="s">
        <v>182</v>
      </c>
      <c r="C63" s="130">
        <v>135000</v>
      </c>
      <c r="D63" s="703">
        <f>ROUND(D64,2)</f>
        <v>0</v>
      </c>
      <c r="E63" s="181"/>
      <c r="F63" s="189" t="s">
        <v>204</v>
      </c>
      <c r="G63" s="143">
        <v>243200</v>
      </c>
      <c r="H63" s="733"/>
    </row>
    <row r="64" spans="1:12" ht="15.75" thickBot="1">
      <c r="A64" s="147"/>
      <c r="B64" s="179" t="s">
        <v>182</v>
      </c>
      <c r="C64" s="177">
        <v>135000</v>
      </c>
      <c r="D64" s="712"/>
      <c r="E64" s="181"/>
      <c r="F64" s="139" t="s">
        <v>205</v>
      </c>
      <c r="G64" s="130">
        <v>244000</v>
      </c>
      <c r="H64" s="726">
        <f>ROUND(H65,2)</f>
        <v>0</v>
      </c>
    </row>
    <row r="65" spans="1:8" ht="15.75" thickBot="1">
      <c r="A65" s="241"/>
      <c r="B65" s="130" t="s">
        <v>206</v>
      </c>
      <c r="C65" s="130">
        <v>136000</v>
      </c>
      <c r="D65" s="703">
        <f>ROUND(SUM(D66,-D67,-D68),2)</f>
        <v>0</v>
      </c>
      <c r="E65" s="181"/>
      <c r="F65" s="243" t="s">
        <v>205</v>
      </c>
      <c r="G65" s="244">
        <v>244000</v>
      </c>
      <c r="H65" s="735"/>
    </row>
    <row r="66" spans="1:8" ht="15.75" thickBot="1">
      <c r="A66" s="241"/>
      <c r="B66" s="247" t="s">
        <v>206</v>
      </c>
      <c r="C66" s="102">
        <v>136100</v>
      </c>
      <c r="D66" s="713"/>
      <c r="E66" s="181"/>
      <c r="F66" s="139" t="s">
        <v>207</v>
      </c>
      <c r="G66" s="130">
        <v>245000</v>
      </c>
      <c r="H66" s="726">
        <f>ROUND(H67,2)</f>
        <v>0</v>
      </c>
    </row>
    <row r="67" spans="1:8" ht="15.75" thickBot="1">
      <c r="A67" s="241"/>
      <c r="B67" s="686" t="s">
        <v>208</v>
      </c>
      <c r="C67" s="125">
        <v>136200</v>
      </c>
      <c r="D67" s="713"/>
      <c r="E67" s="246"/>
      <c r="F67" s="190" t="s">
        <v>207</v>
      </c>
      <c r="G67" s="191">
        <v>245000</v>
      </c>
      <c r="H67" s="738"/>
    </row>
    <row r="68" spans="1:8" ht="15.75" thickBot="1">
      <c r="A68" s="241"/>
      <c r="B68" s="687" t="s">
        <v>209</v>
      </c>
      <c r="C68" s="125">
        <v>136300</v>
      </c>
      <c r="D68" s="712"/>
      <c r="F68" s="245" t="s">
        <v>210</v>
      </c>
      <c r="G68" s="169">
        <v>246000</v>
      </c>
      <c r="H68" s="725">
        <f>ROUND(SUM(H69,H71,H73,H75),2)</f>
        <v>0</v>
      </c>
    </row>
    <row r="69" spans="1:8" ht="15.75" thickBot="1">
      <c r="A69" s="241"/>
      <c r="B69" s="130" t="s">
        <v>211</v>
      </c>
      <c r="C69" s="130">
        <v>137000</v>
      </c>
      <c r="D69" s="703">
        <f>+ROUND(D70,2)</f>
        <v>0</v>
      </c>
      <c r="E69" s="203"/>
      <c r="F69" s="240" t="s">
        <v>212</v>
      </c>
      <c r="G69" s="161">
        <v>246100</v>
      </c>
      <c r="H69" s="726">
        <f>ROUND(H70,2)</f>
        <v>0</v>
      </c>
    </row>
    <row r="70" spans="1:8" ht="15.75" thickBot="1">
      <c r="A70" s="241"/>
      <c r="B70" s="242" t="s">
        <v>211</v>
      </c>
      <c r="C70" s="232">
        <v>137000</v>
      </c>
      <c r="D70" s="709"/>
      <c r="E70" s="181"/>
      <c r="F70" s="243" t="s">
        <v>212</v>
      </c>
      <c r="G70" s="244">
        <v>246100</v>
      </c>
      <c r="H70" s="739"/>
    </row>
    <row r="71" spans="1:8" ht="15.75" customHeight="1" thickBot="1">
      <c r="B71" s="167" t="s">
        <v>213</v>
      </c>
      <c r="C71" s="168">
        <v>150000</v>
      </c>
      <c r="D71" s="700">
        <f>ROUND(SUM(D72,D77,D79,D82,D85,D90,D96,D100,D130),2)</f>
        <v>0</v>
      </c>
      <c r="E71" s="181"/>
      <c r="F71" s="240" t="s">
        <v>214</v>
      </c>
      <c r="G71" s="161">
        <v>246200</v>
      </c>
      <c r="H71" s="726">
        <f>ROUND(H72,2)</f>
        <v>0</v>
      </c>
    </row>
    <row r="72" spans="1:8" ht="15.75" thickBot="1">
      <c r="A72" s="170"/>
      <c r="B72" s="130" t="s">
        <v>215</v>
      </c>
      <c r="C72" s="130">
        <v>150100</v>
      </c>
      <c r="D72" s="703">
        <f>ROUND(SUM(D73:D76),2)</f>
        <v>0</v>
      </c>
      <c r="E72" s="181"/>
      <c r="F72" s="190" t="s">
        <v>214</v>
      </c>
      <c r="G72" s="191">
        <v>246200</v>
      </c>
      <c r="H72" s="738"/>
    </row>
    <row r="73" spans="1:8" ht="15.75" thickBot="1">
      <c r="A73" s="165"/>
      <c r="B73" s="136" t="s">
        <v>216</v>
      </c>
      <c r="C73" s="142">
        <v>150110</v>
      </c>
      <c r="D73" s="714"/>
      <c r="E73" s="181"/>
      <c r="F73" s="240" t="s">
        <v>217</v>
      </c>
      <c r="G73" s="161">
        <v>246300</v>
      </c>
      <c r="H73" s="726">
        <f>ROUND(H74,2)</f>
        <v>0</v>
      </c>
    </row>
    <row r="74" spans="1:8" ht="15.75" thickBot="1">
      <c r="A74" s="147"/>
      <c r="B74" s="137" t="s">
        <v>218</v>
      </c>
      <c r="C74" s="143">
        <v>150120</v>
      </c>
      <c r="D74" s="711"/>
      <c r="E74" s="181"/>
      <c r="F74" s="190" t="s">
        <v>217</v>
      </c>
      <c r="G74" s="191">
        <v>246300</v>
      </c>
      <c r="H74" s="738"/>
    </row>
    <row r="75" spans="1:8" ht="15.75" thickBot="1">
      <c r="A75" s="147"/>
      <c r="B75" s="137" t="s">
        <v>219</v>
      </c>
      <c r="C75" s="143">
        <v>150130</v>
      </c>
      <c r="D75" s="712"/>
      <c r="E75" s="181"/>
      <c r="F75" s="188" t="s">
        <v>211</v>
      </c>
      <c r="G75" s="130">
        <v>246400</v>
      </c>
      <c r="H75" s="726">
        <f>ROUND(H76,2)</f>
        <v>0</v>
      </c>
    </row>
    <row r="76" spans="1:8" ht="15.75" customHeight="1" thickBot="1">
      <c r="A76" s="147"/>
      <c r="B76" s="141" t="s">
        <v>220</v>
      </c>
      <c r="C76" s="144">
        <v>150140</v>
      </c>
      <c r="D76" s="702"/>
      <c r="E76" s="181"/>
      <c r="F76" s="221" t="s">
        <v>211</v>
      </c>
      <c r="G76" s="144">
        <v>246400</v>
      </c>
      <c r="H76" s="727"/>
    </row>
    <row r="77" spans="1:8" ht="15.75" thickBot="1">
      <c r="A77" s="147"/>
      <c r="B77" s="130" t="s">
        <v>221</v>
      </c>
      <c r="C77" s="130">
        <v>150200</v>
      </c>
      <c r="D77" s="703">
        <f>ROUND(D78,2)</f>
        <v>0</v>
      </c>
      <c r="F77" s="206" t="s">
        <v>222</v>
      </c>
      <c r="G77" s="239">
        <v>250000</v>
      </c>
      <c r="H77" s="700">
        <f>ROUND(SUM(H78,H80,H82),2)</f>
        <v>0</v>
      </c>
    </row>
    <row r="78" spans="1:8" ht="15.75" thickBot="1">
      <c r="A78" s="147"/>
      <c r="B78" s="236" t="s">
        <v>221</v>
      </c>
      <c r="C78" s="193">
        <v>150200</v>
      </c>
      <c r="D78" s="702"/>
      <c r="E78" s="203"/>
      <c r="F78" s="237" t="s">
        <v>223</v>
      </c>
      <c r="G78" s="238">
        <v>251000</v>
      </c>
      <c r="H78" s="703">
        <f>ROUND(H79,2)</f>
        <v>0</v>
      </c>
    </row>
    <row r="79" spans="1:8" ht="15.75" thickBot="1">
      <c r="A79" s="147"/>
      <c r="B79" s="130" t="s">
        <v>224</v>
      </c>
      <c r="C79" s="130">
        <v>150300</v>
      </c>
      <c r="D79" s="703">
        <f>ROUND(SUM(D80,D81),2)</f>
        <v>0</v>
      </c>
      <c r="E79" s="181"/>
      <c r="F79" s="235" t="s">
        <v>223</v>
      </c>
      <c r="G79" s="146">
        <v>251000</v>
      </c>
      <c r="H79" s="738"/>
    </row>
    <row r="80" spans="1:8" ht="15.75" thickBot="1">
      <c r="A80" s="147"/>
      <c r="B80" s="136" t="s">
        <v>225</v>
      </c>
      <c r="C80" s="142">
        <v>150310</v>
      </c>
      <c r="D80" s="714"/>
      <c r="E80" s="181"/>
      <c r="F80" s="233" t="s">
        <v>226</v>
      </c>
      <c r="G80" s="130">
        <v>252000</v>
      </c>
      <c r="H80" s="726">
        <f>ROUND(H81,2)</f>
        <v>0</v>
      </c>
    </row>
    <row r="81" spans="1:8" ht="15.75" thickBot="1">
      <c r="A81" s="147"/>
      <c r="B81" s="138" t="s">
        <v>227</v>
      </c>
      <c r="C81" s="174">
        <v>150320</v>
      </c>
      <c r="D81" s="714"/>
      <c r="E81" s="181"/>
      <c r="F81" s="234" t="s">
        <v>226</v>
      </c>
      <c r="G81" s="172">
        <v>252000</v>
      </c>
      <c r="H81" s="740"/>
    </row>
    <row r="82" spans="1:8" ht="15.75" thickBot="1">
      <c r="A82" s="147"/>
      <c r="B82" s="130" t="s">
        <v>228</v>
      </c>
      <c r="C82" s="130">
        <v>150400</v>
      </c>
      <c r="D82" s="703">
        <f>ROUND(SUM(D83,D84),2)</f>
        <v>0</v>
      </c>
      <c r="E82" s="181"/>
      <c r="F82" s="233" t="s">
        <v>229</v>
      </c>
      <c r="G82" s="130">
        <v>253000</v>
      </c>
      <c r="H82" s="726">
        <f>ROUND(H83,2)</f>
        <v>0</v>
      </c>
    </row>
    <row r="83" spans="1:8" ht="15.75" customHeight="1" thickBot="1">
      <c r="A83" s="147"/>
      <c r="B83" s="229" t="s">
        <v>230</v>
      </c>
      <c r="C83" s="142">
        <v>150410</v>
      </c>
      <c r="D83" s="714"/>
      <c r="E83" s="180"/>
      <c r="F83" s="231" t="s">
        <v>229</v>
      </c>
      <c r="G83" s="232">
        <v>253000</v>
      </c>
      <c r="H83" s="706"/>
    </row>
    <row r="84" spans="1:8" ht="15.75" thickBot="1">
      <c r="A84" s="147"/>
      <c r="B84" s="230" t="s">
        <v>231</v>
      </c>
      <c r="C84" s="144">
        <v>150420</v>
      </c>
      <c r="D84" s="714"/>
      <c r="F84" s="206" t="s">
        <v>232</v>
      </c>
      <c r="G84" s="168">
        <v>300000</v>
      </c>
      <c r="H84" s="725">
        <f>ROUND(SUM(H85,H88,H96,H102),2)</f>
        <v>0</v>
      </c>
    </row>
    <row r="85" spans="1:8" ht="15.75" thickBot="1">
      <c r="A85" s="147"/>
      <c r="B85" s="130" t="s">
        <v>233</v>
      </c>
      <c r="C85" s="130">
        <v>150500</v>
      </c>
      <c r="D85" s="703">
        <f>ROUND(SUM(D86:D87,-D88,-D89),2)</f>
        <v>0</v>
      </c>
      <c r="E85" s="180"/>
      <c r="F85" s="228" t="s">
        <v>234</v>
      </c>
      <c r="G85" s="145">
        <v>310000</v>
      </c>
      <c r="H85" s="732">
        <f>ROUND(SUM(H86,H87),2)</f>
        <v>0</v>
      </c>
    </row>
    <row r="86" spans="1:8">
      <c r="A86" s="147"/>
      <c r="B86" s="210" t="s">
        <v>235</v>
      </c>
      <c r="C86" s="176">
        <v>150510</v>
      </c>
      <c r="D86" s="701"/>
      <c r="E86" s="181"/>
      <c r="F86" s="227" t="s">
        <v>236</v>
      </c>
      <c r="G86" s="142">
        <v>311000</v>
      </c>
      <c r="H86" s="729"/>
    </row>
    <row r="87" spans="1:8" ht="15.75" customHeight="1" thickBot="1">
      <c r="A87" s="147"/>
      <c r="B87" s="226" t="s">
        <v>237</v>
      </c>
      <c r="C87" s="174">
        <v>150520</v>
      </c>
      <c r="D87" s="711"/>
      <c r="E87" s="181"/>
      <c r="F87" s="225" t="s">
        <v>238</v>
      </c>
      <c r="G87" s="144">
        <v>312000</v>
      </c>
      <c r="H87" s="731"/>
    </row>
    <row r="88" spans="1:8" ht="15.75" thickBot="1">
      <c r="A88" s="147"/>
      <c r="B88" s="686" t="s">
        <v>208</v>
      </c>
      <c r="C88" s="174">
        <v>150530</v>
      </c>
      <c r="D88" s="711"/>
      <c r="E88" s="181"/>
      <c r="F88" s="223" t="s">
        <v>239</v>
      </c>
      <c r="G88" s="224">
        <v>320000</v>
      </c>
      <c r="H88" s="736">
        <f>ROUND(SUM(H89,H92,H94),2)</f>
        <v>0</v>
      </c>
    </row>
    <row r="89" spans="1:8" ht="15.75" thickBot="1">
      <c r="A89" s="147"/>
      <c r="B89" s="687" t="s">
        <v>209</v>
      </c>
      <c r="C89" s="174">
        <v>150540</v>
      </c>
      <c r="D89" s="714"/>
      <c r="E89" s="181"/>
      <c r="F89" s="216" t="s">
        <v>240</v>
      </c>
      <c r="G89" s="156">
        <v>321000</v>
      </c>
      <c r="H89" s="741">
        <f>ROUND(SUM(H90,H91),2)</f>
        <v>0</v>
      </c>
    </row>
    <row r="90" spans="1:8" ht="15.75" thickBot="1">
      <c r="A90" s="147"/>
      <c r="B90" s="130" t="s">
        <v>241</v>
      </c>
      <c r="C90" s="130">
        <v>150600</v>
      </c>
      <c r="D90" s="703">
        <f>ROUND(SUM(D91:D95),2)</f>
        <v>0</v>
      </c>
      <c r="E90" s="181"/>
      <c r="F90" s="222" t="s">
        <v>242</v>
      </c>
      <c r="G90" s="176">
        <v>321100</v>
      </c>
      <c r="H90" s="734"/>
    </row>
    <row r="91" spans="1:8" ht="15.75" thickBot="1">
      <c r="A91" s="147"/>
      <c r="B91" s="218" t="s">
        <v>243</v>
      </c>
      <c r="C91" s="219">
        <v>150610</v>
      </c>
      <c r="D91" s="714"/>
      <c r="E91" s="181"/>
      <c r="F91" s="221" t="s">
        <v>244</v>
      </c>
      <c r="G91" s="144">
        <v>321200</v>
      </c>
      <c r="H91" s="731"/>
    </row>
    <row r="92" spans="1:8" ht="15.75" thickBot="1">
      <c r="A92" s="147"/>
      <c r="B92" s="137" t="s">
        <v>245</v>
      </c>
      <c r="C92" s="219">
        <v>150620</v>
      </c>
      <c r="D92" s="714"/>
      <c r="E92" s="180"/>
      <c r="F92" s="217" t="s">
        <v>246</v>
      </c>
      <c r="G92" s="195">
        <v>322000</v>
      </c>
      <c r="H92" s="742">
        <f>ROUND(H93,2)</f>
        <v>0</v>
      </c>
    </row>
    <row r="93" spans="1:8" ht="15.75" thickBot="1">
      <c r="A93" s="147"/>
      <c r="B93" s="220" t="s">
        <v>247</v>
      </c>
      <c r="C93" s="219">
        <v>150630</v>
      </c>
      <c r="D93" s="714"/>
      <c r="E93" s="180"/>
      <c r="F93" s="214" t="s">
        <v>248</v>
      </c>
      <c r="G93" s="215">
        <v>322000</v>
      </c>
      <c r="H93" s="735"/>
    </row>
    <row r="94" spans="1:8" ht="15.75" thickBot="1">
      <c r="A94" s="147"/>
      <c r="B94" s="137" t="s">
        <v>249</v>
      </c>
      <c r="C94" s="219">
        <v>150640</v>
      </c>
      <c r="D94" s="714"/>
      <c r="E94" s="180"/>
      <c r="F94" s="216" t="s">
        <v>250</v>
      </c>
      <c r="G94" s="156">
        <v>323000</v>
      </c>
      <c r="H94" s="741">
        <f>ROUND(H95,2)</f>
        <v>0</v>
      </c>
    </row>
    <row r="95" spans="1:8" ht="15.75" thickBot="1">
      <c r="A95" s="147"/>
      <c r="B95" s="137" t="s">
        <v>211</v>
      </c>
      <c r="C95" s="143">
        <v>150650</v>
      </c>
      <c r="D95" s="714"/>
      <c r="E95" s="180"/>
      <c r="F95" s="214" t="s">
        <v>211</v>
      </c>
      <c r="G95" s="215">
        <v>323000</v>
      </c>
      <c r="H95" s="735"/>
    </row>
    <row r="96" spans="1:8" ht="15.75" thickBot="1">
      <c r="A96" s="147"/>
      <c r="B96" s="130" t="s">
        <v>251</v>
      </c>
      <c r="C96" s="130">
        <v>150700</v>
      </c>
      <c r="D96" s="703">
        <f>ROUND(SUM(D97,-D98,-D99),2)</f>
        <v>0</v>
      </c>
      <c r="E96" s="180"/>
      <c r="F96" s="212" t="s">
        <v>252</v>
      </c>
      <c r="G96" s="213">
        <v>330000</v>
      </c>
      <c r="H96" s="743">
        <f>ROUND(SUM(H97:H101),2)</f>
        <v>0</v>
      </c>
    </row>
    <row r="97" spans="1:8">
      <c r="A97" s="147"/>
      <c r="B97" s="162" t="s">
        <v>251</v>
      </c>
      <c r="C97" s="177">
        <v>150700</v>
      </c>
      <c r="D97" s="715"/>
      <c r="E97" s="180"/>
      <c r="F97" s="211" t="s">
        <v>253</v>
      </c>
      <c r="G97" s="142">
        <v>331000</v>
      </c>
      <c r="H97" s="729"/>
    </row>
    <row r="98" spans="1:8">
      <c r="A98" s="147"/>
      <c r="B98" s="688" t="s">
        <v>254</v>
      </c>
      <c r="C98" s="143">
        <v>150710</v>
      </c>
      <c r="D98" s="714"/>
      <c r="E98" s="180"/>
      <c r="F98" s="189" t="s">
        <v>255</v>
      </c>
      <c r="G98" s="143">
        <v>332000</v>
      </c>
      <c r="H98" s="730"/>
    </row>
    <row r="99" spans="1:8" ht="15.75" thickBot="1">
      <c r="A99" s="147"/>
      <c r="B99" s="689" t="s">
        <v>256</v>
      </c>
      <c r="C99" s="143">
        <v>150720</v>
      </c>
      <c r="D99" s="714"/>
      <c r="E99" s="181"/>
      <c r="F99" s="189" t="s">
        <v>257</v>
      </c>
      <c r="G99" s="143">
        <v>333000</v>
      </c>
      <c r="H99" s="730"/>
    </row>
    <row r="100" spans="1:8" ht="15.75" thickBot="1">
      <c r="B100" s="167" t="s">
        <v>258</v>
      </c>
      <c r="C100" s="168">
        <v>160000</v>
      </c>
      <c r="D100" s="700">
        <f>ROUND(SUM(D101,D105,D114,D118,D122,D126),2)</f>
        <v>0</v>
      </c>
      <c r="E100" s="181"/>
      <c r="F100" s="189" t="s">
        <v>259</v>
      </c>
      <c r="G100" s="143">
        <v>334000</v>
      </c>
      <c r="H100" s="730"/>
    </row>
    <row r="101" spans="1:8" ht="15.75" thickBot="1">
      <c r="A101" s="170"/>
      <c r="B101" s="130" t="s">
        <v>260</v>
      </c>
      <c r="C101" s="130">
        <v>161000</v>
      </c>
      <c r="D101" s="716">
        <f>ROUND(SUM(D102,-D103,-D104),2)</f>
        <v>0</v>
      </c>
      <c r="E101" s="181"/>
      <c r="F101" s="209" t="s">
        <v>261</v>
      </c>
      <c r="G101" s="174">
        <v>335000</v>
      </c>
      <c r="H101" s="733"/>
    </row>
    <row r="102" spans="1:8" ht="15.75" customHeight="1" thickBot="1">
      <c r="A102" s="170"/>
      <c r="B102" s="162" t="s">
        <v>260</v>
      </c>
      <c r="C102" s="127">
        <v>161000</v>
      </c>
      <c r="D102" s="717"/>
      <c r="E102" s="181"/>
      <c r="F102" s="188" t="s">
        <v>262</v>
      </c>
      <c r="G102" s="130">
        <v>340000</v>
      </c>
      <c r="H102" s="726">
        <f>ROUND(SUM(H103,H104),2)</f>
        <v>0</v>
      </c>
    </row>
    <row r="103" spans="1:8">
      <c r="A103" s="165"/>
      <c r="B103" s="690" t="s">
        <v>254</v>
      </c>
      <c r="C103" s="176">
        <v>161100</v>
      </c>
      <c r="D103" s="711"/>
      <c r="E103" s="181"/>
      <c r="F103" s="207" t="s">
        <v>263</v>
      </c>
      <c r="G103" s="176">
        <v>341000</v>
      </c>
      <c r="H103" s="744"/>
    </row>
    <row r="104" spans="1:8" ht="15.75" customHeight="1" thickBot="1">
      <c r="A104" s="147"/>
      <c r="B104" s="691" t="s">
        <v>256</v>
      </c>
      <c r="C104" s="144">
        <v>161200</v>
      </c>
      <c r="D104" s="702"/>
      <c r="E104" s="181"/>
      <c r="F104" s="208" t="s">
        <v>264</v>
      </c>
      <c r="G104" s="174">
        <v>342000</v>
      </c>
      <c r="H104" s="733"/>
    </row>
    <row r="105" spans="1:8" ht="15.75" thickBot="1">
      <c r="A105" s="147"/>
      <c r="B105" s="130" t="s">
        <v>265</v>
      </c>
      <c r="C105" s="130">
        <v>162000</v>
      </c>
      <c r="D105" s="703">
        <f>ROUND(SUM(D106,D110),2)</f>
        <v>0</v>
      </c>
      <c r="F105" s="206" t="s">
        <v>266</v>
      </c>
      <c r="G105" s="168">
        <v>400000</v>
      </c>
      <c r="H105" s="725">
        <f>ROUND(SUM(H106,H116,H122),2)</f>
        <v>0</v>
      </c>
    </row>
    <row r="106" spans="1:8" ht="15.75" thickBot="1">
      <c r="A106" s="147"/>
      <c r="B106" s="199" t="s">
        <v>267</v>
      </c>
      <c r="C106" s="156">
        <v>162100</v>
      </c>
      <c r="D106" s="704">
        <f>ROUND(SUM(D107,-D108,-D109),2)</f>
        <v>0</v>
      </c>
      <c r="E106" s="203"/>
      <c r="F106" s="204" t="s">
        <v>268</v>
      </c>
      <c r="G106" s="205">
        <v>410000</v>
      </c>
      <c r="H106" s="724">
        <f>ROUND(SUM(H107,H110,H112,-H114),2)</f>
        <v>0</v>
      </c>
    </row>
    <row r="107" spans="1:8" ht="15.75" thickBot="1">
      <c r="A107" s="147"/>
      <c r="B107" s="197" t="s">
        <v>267</v>
      </c>
      <c r="C107" s="127">
        <v>162100</v>
      </c>
      <c r="D107" s="717"/>
      <c r="E107" s="181"/>
      <c r="F107" s="200" t="s">
        <v>269</v>
      </c>
      <c r="G107" s="156">
        <v>411000</v>
      </c>
      <c r="H107" s="741">
        <f>ROUND(SUM(H108,H109),2)</f>
        <v>0</v>
      </c>
    </row>
    <row r="108" spans="1:8" ht="15.75" customHeight="1">
      <c r="A108" s="147"/>
      <c r="B108" s="692" t="s">
        <v>254</v>
      </c>
      <c r="C108" s="176">
        <v>162110</v>
      </c>
      <c r="D108" s="711"/>
      <c r="E108" s="181"/>
      <c r="F108" s="202" t="s">
        <v>163</v>
      </c>
      <c r="G108" s="124">
        <v>411100</v>
      </c>
      <c r="H108" s="734"/>
    </row>
    <row r="109" spans="1:8" ht="15.75" thickBot="1">
      <c r="A109" s="147"/>
      <c r="B109" s="693" t="s">
        <v>256</v>
      </c>
      <c r="C109" s="144">
        <v>162120</v>
      </c>
      <c r="D109" s="702"/>
      <c r="E109" s="181"/>
      <c r="F109" s="201" t="s">
        <v>159</v>
      </c>
      <c r="G109" s="125">
        <v>411200</v>
      </c>
      <c r="H109" s="733"/>
    </row>
    <row r="110" spans="1:8" ht="15.75" thickBot="1">
      <c r="A110" s="147"/>
      <c r="B110" s="199" t="s">
        <v>270</v>
      </c>
      <c r="C110" s="156">
        <v>162200</v>
      </c>
      <c r="D110" s="704">
        <f>ROUND(SUM(D111,-D112,-D113),2)</f>
        <v>0</v>
      </c>
      <c r="E110" s="181"/>
      <c r="F110" s="200" t="s">
        <v>271</v>
      </c>
      <c r="G110" s="156">
        <v>412000</v>
      </c>
      <c r="H110" s="741">
        <f>ROUND(H111,2)</f>
        <v>0</v>
      </c>
    </row>
    <row r="111" spans="1:8" ht="15.75" thickBot="1">
      <c r="A111" s="147"/>
      <c r="B111" s="197" t="s">
        <v>270</v>
      </c>
      <c r="C111" s="177">
        <v>162200</v>
      </c>
      <c r="D111" s="715"/>
      <c r="E111" s="181"/>
      <c r="F111" s="192" t="s">
        <v>271</v>
      </c>
      <c r="G111" s="193">
        <v>412000</v>
      </c>
      <c r="H111" s="745"/>
    </row>
    <row r="112" spans="1:8" ht="15.75" thickBot="1">
      <c r="A112" s="147"/>
      <c r="B112" s="692" t="s">
        <v>254</v>
      </c>
      <c r="C112" s="143">
        <v>162210</v>
      </c>
      <c r="D112" s="714"/>
      <c r="E112" s="181"/>
      <c r="F112" s="194" t="s">
        <v>272</v>
      </c>
      <c r="G112" s="195">
        <v>413000</v>
      </c>
      <c r="H112" s="742">
        <f>ROUND(H113,2)</f>
        <v>0</v>
      </c>
    </row>
    <row r="113" spans="1:8" ht="15.75" thickBot="1">
      <c r="A113" s="147"/>
      <c r="B113" s="693" t="s">
        <v>256</v>
      </c>
      <c r="C113" s="144">
        <v>162220</v>
      </c>
      <c r="D113" s="702"/>
      <c r="E113" s="181"/>
      <c r="F113" s="196" t="s">
        <v>272</v>
      </c>
      <c r="G113" s="127">
        <v>413000</v>
      </c>
      <c r="H113" s="745"/>
    </row>
    <row r="114" spans="1:8" ht="15.75" thickBot="1">
      <c r="A114" s="147"/>
      <c r="B114" s="130" t="s">
        <v>273</v>
      </c>
      <c r="C114" s="130">
        <v>163000</v>
      </c>
      <c r="D114" s="703">
        <f>ROUND(SUM(D115,-D116,-D117),2)</f>
        <v>0</v>
      </c>
      <c r="E114" s="181"/>
      <c r="F114" s="919" t="s">
        <v>274</v>
      </c>
      <c r="G114" s="195">
        <v>414000</v>
      </c>
      <c r="H114" s="742">
        <f>ROUND(H115,2)</f>
        <v>0</v>
      </c>
    </row>
    <row r="115" spans="1:8" ht="15.75" thickBot="1">
      <c r="A115" s="147"/>
      <c r="B115" s="162" t="s">
        <v>273</v>
      </c>
      <c r="C115" s="127">
        <v>163000</v>
      </c>
      <c r="D115" s="717"/>
      <c r="E115" s="181"/>
      <c r="F115" s="192" t="s">
        <v>274</v>
      </c>
      <c r="G115" s="193">
        <v>414000</v>
      </c>
      <c r="H115" s="745"/>
    </row>
    <row r="116" spans="1:8" ht="15.75" thickBot="1">
      <c r="A116" s="147"/>
      <c r="B116" s="689" t="s">
        <v>254</v>
      </c>
      <c r="C116" s="176">
        <v>163110</v>
      </c>
      <c r="D116" s="711"/>
      <c r="E116" s="181"/>
      <c r="F116" s="188" t="s">
        <v>275</v>
      </c>
      <c r="G116" s="130">
        <v>420000</v>
      </c>
      <c r="H116" s="726">
        <f>ROUND(SUM(H117:H121),2)</f>
        <v>0</v>
      </c>
    </row>
    <row r="117" spans="1:8" ht="15.75" thickBot="1">
      <c r="A117" s="147"/>
      <c r="B117" s="694" t="s">
        <v>256</v>
      </c>
      <c r="C117" s="144">
        <v>163120</v>
      </c>
      <c r="D117" s="702"/>
      <c r="E117" s="181"/>
      <c r="F117" s="187" t="s">
        <v>276</v>
      </c>
      <c r="G117" s="127">
        <v>421000</v>
      </c>
      <c r="H117" s="729"/>
    </row>
    <row r="118" spans="1:8" ht="15.75" thickBot="1">
      <c r="A118" s="147"/>
      <c r="B118" s="130" t="s">
        <v>277</v>
      </c>
      <c r="C118" s="130">
        <v>164000</v>
      </c>
      <c r="D118" s="703">
        <f>ROUND(SUM(D119,-D120,-D121),2)</f>
        <v>0</v>
      </c>
      <c r="E118" s="181"/>
      <c r="F118" s="190" t="s">
        <v>278</v>
      </c>
      <c r="G118" s="191">
        <v>422000</v>
      </c>
      <c r="H118" s="730"/>
    </row>
    <row r="119" spans="1:8">
      <c r="A119" s="147"/>
      <c r="B119" s="162" t="s">
        <v>277</v>
      </c>
      <c r="C119" s="127">
        <v>164000</v>
      </c>
      <c r="D119" s="715"/>
      <c r="E119" s="181"/>
      <c r="F119" s="185" t="s">
        <v>279</v>
      </c>
      <c r="G119" s="128">
        <v>423000</v>
      </c>
      <c r="H119" s="730"/>
    </row>
    <row r="120" spans="1:8">
      <c r="A120" s="147"/>
      <c r="B120" s="689" t="s">
        <v>254</v>
      </c>
      <c r="C120" s="176">
        <v>164110</v>
      </c>
      <c r="D120" s="714"/>
      <c r="E120" s="181"/>
      <c r="F120" s="189" t="s">
        <v>280</v>
      </c>
      <c r="G120" s="128">
        <v>424000</v>
      </c>
      <c r="H120" s="738"/>
    </row>
    <row r="121" spans="1:8" ht="15.75" thickBot="1">
      <c r="A121" s="147"/>
      <c r="B121" s="694" t="s">
        <v>256</v>
      </c>
      <c r="C121" s="144">
        <v>164120</v>
      </c>
      <c r="D121" s="702"/>
      <c r="E121" s="181"/>
      <c r="F121" s="186" t="s">
        <v>281</v>
      </c>
      <c r="G121" s="129">
        <v>425000</v>
      </c>
      <c r="H121" s="731"/>
    </row>
    <row r="122" spans="1:8" ht="16.5" customHeight="1" thickBot="1">
      <c r="A122" s="147"/>
      <c r="B122" s="130" t="s">
        <v>282</v>
      </c>
      <c r="C122" s="130">
        <v>165000</v>
      </c>
      <c r="D122" s="703">
        <f>ROUND(SUM(D123,-D124,-D125),2)</f>
        <v>0</v>
      </c>
      <c r="E122" s="181"/>
      <c r="F122" s="188" t="s">
        <v>283</v>
      </c>
      <c r="G122" s="130">
        <v>430000</v>
      </c>
      <c r="H122" s="726">
        <f>ROUND(SUM(H123:H132),2)</f>
        <v>0</v>
      </c>
    </row>
    <row r="123" spans="1:8">
      <c r="A123" s="147"/>
      <c r="B123" s="179" t="s">
        <v>282</v>
      </c>
      <c r="C123" s="127">
        <v>165000</v>
      </c>
      <c r="D123" s="717"/>
      <c r="E123" s="181"/>
      <c r="F123" s="187" t="s">
        <v>284</v>
      </c>
      <c r="G123" s="127">
        <v>430100</v>
      </c>
      <c r="H123" s="729"/>
    </row>
    <row r="124" spans="1:8">
      <c r="A124" s="147"/>
      <c r="B124" s="689" t="s">
        <v>254</v>
      </c>
      <c r="C124" s="176">
        <v>165110</v>
      </c>
      <c r="D124" s="711"/>
      <c r="E124" s="181"/>
      <c r="F124" s="185" t="s">
        <v>285</v>
      </c>
      <c r="G124" s="128">
        <v>430200</v>
      </c>
      <c r="H124" s="730"/>
    </row>
    <row r="125" spans="1:8" ht="26.25" customHeight="1" thickBot="1">
      <c r="A125" s="147"/>
      <c r="B125" s="694" t="s">
        <v>256</v>
      </c>
      <c r="C125" s="144">
        <v>165120</v>
      </c>
      <c r="D125" s="702"/>
      <c r="E125" s="181"/>
      <c r="F125" s="185" t="s">
        <v>286</v>
      </c>
      <c r="G125" s="128">
        <v>430300</v>
      </c>
      <c r="H125" s="730"/>
    </row>
    <row r="126" spans="1:8" ht="15.75" thickBot="1">
      <c r="A126" s="147"/>
      <c r="B126" s="130" t="s">
        <v>287</v>
      </c>
      <c r="C126" s="130">
        <v>166000</v>
      </c>
      <c r="D126" s="703">
        <f>ROUND(SUM(D127,-D128,-D129),2)</f>
        <v>0</v>
      </c>
      <c r="E126" s="181"/>
      <c r="F126" s="185" t="s">
        <v>288</v>
      </c>
      <c r="G126" s="128">
        <v>430400</v>
      </c>
      <c r="H126" s="730"/>
    </row>
    <row r="127" spans="1:8">
      <c r="A127" s="147"/>
      <c r="B127" s="179" t="s">
        <v>287</v>
      </c>
      <c r="C127" s="177">
        <v>166000</v>
      </c>
      <c r="D127" s="715"/>
      <c r="E127" s="181"/>
      <c r="F127" s="185" t="s">
        <v>289</v>
      </c>
      <c r="G127" s="128">
        <v>430500</v>
      </c>
      <c r="H127" s="730"/>
    </row>
    <row r="128" spans="1:8" ht="25.5">
      <c r="A128" s="147"/>
      <c r="B128" s="689" t="s">
        <v>254</v>
      </c>
      <c r="C128" s="143">
        <v>166110</v>
      </c>
      <c r="D128" s="714"/>
      <c r="E128" s="181"/>
      <c r="F128" s="185" t="s">
        <v>290</v>
      </c>
      <c r="G128" s="128">
        <v>430600</v>
      </c>
      <c r="H128" s="730"/>
    </row>
    <row r="129" spans="1:8" ht="26.25" thickBot="1">
      <c r="A129" s="147"/>
      <c r="B129" s="694" t="s">
        <v>256</v>
      </c>
      <c r="C129" s="174">
        <v>166120</v>
      </c>
      <c r="D129" s="712"/>
      <c r="E129" s="181"/>
      <c r="F129" s="185" t="s">
        <v>291</v>
      </c>
      <c r="G129" s="128">
        <v>430700</v>
      </c>
      <c r="H129" s="730"/>
    </row>
    <row r="130" spans="1:8" ht="26.25" thickBot="1">
      <c r="B130" s="183" t="s">
        <v>292</v>
      </c>
      <c r="C130" s="184">
        <v>170000</v>
      </c>
      <c r="D130" s="718">
        <f>ROUND(SUM(D131,D135,D139,D143,D147,D151),2)</f>
        <v>0</v>
      </c>
      <c r="E130" s="181"/>
      <c r="F130" s="185" t="s">
        <v>293</v>
      </c>
      <c r="G130" s="128">
        <v>430800</v>
      </c>
      <c r="H130" s="730"/>
    </row>
    <row r="131" spans="1:8" ht="15.75" thickBot="1">
      <c r="A131" s="170"/>
      <c r="B131" s="140" t="s">
        <v>294</v>
      </c>
      <c r="C131" s="130">
        <v>170100</v>
      </c>
      <c r="D131" s="703">
        <f>ROUND(SUM(D132,-D133,-D134),2)</f>
        <v>0</v>
      </c>
      <c r="E131" s="181"/>
      <c r="F131" s="185" t="s">
        <v>295</v>
      </c>
      <c r="G131" s="128">
        <v>430900</v>
      </c>
      <c r="H131" s="730"/>
    </row>
    <row r="132" spans="1:8" ht="15.75" thickBot="1">
      <c r="A132" s="170"/>
      <c r="B132" s="182" t="s">
        <v>294</v>
      </c>
      <c r="C132" s="177">
        <v>170100</v>
      </c>
      <c r="D132" s="717"/>
      <c r="E132" s="181"/>
      <c r="F132" s="186" t="s">
        <v>296</v>
      </c>
      <c r="G132" s="129">
        <v>431000</v>
      </c>
      <c r="H132" s="731"/>
    </row>
    <row r="133" spans="1:8">
      <c r="A133" s="165"/>
      <c r="B133" s="689" t="s">
        <v>297</v>
      </c>
      <c r="C133" s="143">
        <v>170110</v>
      </c>
      <c r="D133" s="711"/>
      <c r="E133" s="181"/>
      <c r="H133" s="746"/>
    </row>
    <row r="134" spans="1:8" ht="15.75" thickBot="1">
      <c r="A134" s="147"/>
      <c r="B134" s="694" t="s">
        <v>298</v>
      </c>
      <c r="C134" s="144">
        <v>170120</v>
      </c>
      <c r="D134" s="702"/>
      <c r="E134" s="181"/>
      <c r="H134" s="746"/>
    </row>
    <row r="135" spans="1:8" ht="15.75" thickBot="1">
      <c r="A135" s="147"/>
      <c r="B135" s="130" t="s">
        <v>299</v>
      </c>
      <c r="C135" s="130">
        <v>170200</v>
      </c>
      <c r="D135" s="703">
        <f>ROUND(SUM(D136,-D137,-D138),2)</f>
        <v>0</v>
      </c>
      <c r="E135" s="180"/>
      <c r="F135" s="180"/>
      <c r="G135" s="180"/>
      <c r="H135" s="747"/>
    </row>
    <row r="136" spans="1:8">
      <c r="A136" s="147"/>
      <c r="B136" s="179" t="s">
        <v>299</v>
      </c>
      <c r="C136" s="127">
        <v>170200</v>
      </c>
      <c r="D136" s="717"/>
      <c r="E136" s="180"/>
      <c r="F136" s="180"/>
      <c r="G136" s="180"/>
      <c r="H136" s="747"/>
    </row>
    <row r="137" spans="1:8">
      <c r="A137" s="147"/>
      <c r="B137" s="689" t="s">
        <v>297</v>
      </c>
      <c r="C137" s="176">
        <v>170210</v>
      </c>
      <c r="D137" s="711"/>
      <c r="E137" s="149"/>
      <c r="F137" s="178"/>
      <c r="G137" s="178"/>
      <c r="H137" s="748"/>
    </row>
    <row r="138" spans="1:8" ht="15.75" thickBot="1">
      <c r="A138" s="147"/>
      <c r="B138" s="694" t="s">
        <v>298</v>
      </c>
      <c r="C138" s="144">
        <v>170220</v>
      </c>
      <c r="D138" s="702"/>
      <c r="E138" s="149"/>
      <c r="F138" s="150"/>
      <c r="G138" s="150"/>
      <c r="H138" s="749"/>
    </row>
    <row r="139" spans="1:8" ht="15.75" thickBot="1">
      <c r="A139" s="147"/>
      <c r="B139" s="130" t="s">
        <v>300</v>
      </c>
      <c r="C139" s="130">
        <v>170300</v>
      </c>
      <c r="D139" s="703">
        <f>ROUND(SUM(D140,-D141,-D142),2)</f>
        <v>0</v>
      </c>
      <c r="E139" s="149"/>
      <c r="F139" s="150"/>
      <c r="G139" s="150"/>
      <c r="H139" s="749"/>
    </row>
    <row r="140" spans="1:8">
      <c r="A140" s="147"/>
      <c r="B140" s="162" t="s">
        <v>300</v>
      </c>
      <c r="C140" s="177">
        <v>170300</v>
      </c>
      <c r="D140" s="715"/>
      <c r="E140" s="149"/>
      <c r="F140" s="150"/>
      <c r="G140" s="150"/>
      <c r="H140" s="749"/>
    </row>
    <row r="141" spans="1:8">
      <c r="A141" s="147"/>
      <c r="B141" s="688" t="s">
        <v>297</v>
      </c>
      <c r="C141" s="143">
        <v>170310</v>
      </c>
      <c r="D141" s="714"/>
      <c r="E141" s="149"/>
      <c r="F141" s="150"/>
      <c r="G141" s="150"/>
      <c r="H141" s="749"/>
    </row>
    <row r="142" spans="1:8" ht="15.75" thickBot="1">
      <c r="A142" s="147"/>
      <c r="B142" s="694" t="s">
        <v>298</v>
      </c>
      <c r="C142" s="144">
        <v>170320</v>
      </c>
      <c r="D142" s="702"/>
      <c r="E142" s="149"/>
      <c r="F142" s="150"/>
      <c r="G142" s="150"/>
      <c r="H142" s="749"/>
    </row>
    <row r="143" spans="1:8" ht="15.75" thickBot="1">
      <c r="A143" s="147"/>
      <c r="B143" s="140" t="s">
        <v>301</v>
      </c>
      <c r="C143" s="130">
        <v>170400</v>
      </c>
      <c r="D143" s="703">
        <f>ROUND(SUM(D144,-D145,-D146),2)</f>
        <v>0</v>
      </c>
      <c r="E143" s="149"/>
      <c r="F143" s="150"/>
      <c r="G143" s="150"/>
      <c r="H143" s="749"/>
    </row>
    <row r="144" spans="1:8" ht="15.75" customHeight="1">
      <c r="A144" s="147"/>
      <c r="B144" s="175" t="s">
        <v>301</v>
      </c>
      <c r="C144" s="127">
        <v>170400</v>
      </c>
      <c r="D144" s="717"/>
      <c r="E144" s="149"/>
      <c r="F144" s="150"/>
      <c r="G144" s="150"/>
      <c r="H144" s="749"/>
    </row>
    <row r="145" spans="1:8">
      <c r="A145" s="147"/>
      <c r="B145" s="688" t="s">
        <v>297</v>
      </c>
      <c r="C145" s="176">
        <v>170410</v>
      </c>
      <c r="D145" s="711"/>
      <c r="E145" s="149"/>
      <c r="F145" s="150"/>
      <c r="G145" s="150"/>
      <c r="H145" s="749"/>
    </row>
    <row r="146" spans="1:8" ht="15.75" thickBot="1">
      <c r="A146" s="147"/>
      <c r="B146" s="694" t="s">
        <v>298</v>
      </c>
      <c r="C146" s="144">
        <v>170420</v>
      </c>
      <c r="D146" s="702"/>
      <c r="E146" s="149"/>
      <c r="F146" s="150"/>
      <c r="G146" s="150"/>
      <c r="H146" s="749"/>
    </row>
    <row r="147" spans="1:8" ht="15.75" thickBot="1">
      <c r="A147" s="147"/>
      <c r="B147" s="140" t="s">
        <v>302</v>
      </c>
      <c r="C147" s="130">
        <v>170500</v>
      </c>
      <c r="D147" s="703">
        <f>ROUND(SUM(D148,-D149,-D150),2)</f>
        <v>0</v>
      </c>
      <c r="E147" s="149"/>
      <c r="F147" s="150"/>
      <c r="G147" s="150"/>
      <c r="H147" s="749"/>
    </row>
    <row r="148" spans="1:8">
      <c r="A148" s="147"/>
      <c r="B148" s="173" t="s">
        <v>302</v>
      </c>
      <c r="C148" s="174">
        <v>170500</v>
      </c>
      <c r="D148" s="712"/>
      <c r="E148" s="149"/>
      <c r="F148" s="150"/>
      <c r="G148" s="150"/>
      <c r="H148" s="749"/>
    </row>
    <row r="149" spans="1:8">
      <c r="A149" s="147"/>
      <c r="B149" s="689" t="s">
        <v>297</v>
      </c>
      <c r="C149" s="143">
        <v>170510</v>
      </c>
      <c r="D149" s="714"/>
      <c r="E149" s="149"/>
      <c r="F149" s="150"/>
      <c r="G149" s="150"/>
      <c r="H149" s="749"/>
    </row>
    <row r="150" spans="1:8" ht="15.75" thickBot="1">
      <c r="A150" s="147"/>
      <c r="B150" s="695" t="s">
        <v>298</v>
      </c>
      <c r="C150" s="174">
        <v>170520</v>
      </c>
      <c r="D150" s="712"/>
      <c r="E150" s="149"/>
      <c r="F150" s="150"/>
      <c r="G150" s="150"/>
      <c r="H150" s="749"/>
    </row>
    <row r="151" spans="1:8" ht="15.75" thickBot="1">
      <c r="A151" s="147"/>
      <c r="B151" s="140" t="s">
        <v>303</v>
      </c>
      <c r="C151" s="130">
        <v>170600</v>
      </c>
      <c r="D151" s="703">
        <f>ROUND(SUM(D152,-D153,-D154),2)</f>
        <v>0</v>
      </c>
      <c r="E151" s="149"/>
      <c r="F151" s="150"/>
      <c r="G151" s="150"/>
      <c r="H151" s="749"/>
    </row>
    <row r="152" spans="1:8">
      <c r="A152" s="147"/>
      <c r="B152" s="171" t="s">
        <v>303</v>
      </c>
      <c r="C152" s="172">
        <v>170600</v>
      </c>
      <c r="D152" s="707"/>
      <c r="E152" s="149"/>
      <c r="F152" s="150"/>
      <c r="G152" s="150"/>
      <c r="H152" s="749"/>
    </row>
    <row r="153" spans="1:8">
      <c r="A153" s="147"/>
      <c r="B153" s="688" t="s">
        <v>297</v>
      </c>
      <c r="C153" s="143">
        <v>170610</v>
      </c>
      <c r="D153" s="719"/>
      <c r="E153" s="149"/>
      <c r="F153" s="150"/>
      <c r="G153" s="150"/>
      <c r="H153" s="749"/>
    </row>
    <row r="154" spans="1:8" ht="15.75" thickBot="1">
      <c r="A154" s="147"/>
      <c r="B154" s="695" t="s">
        <v>298</v>
      </c>
      <c r="C154" s="174">
        <v>170620</v>
      </c>
      <c r="D154" s="712"/>
      <c r="E154" s="149"/>
      <c r="F154" s="150"/>
      <c r="G154" s="150"/>
      <c r="H154" s="749"/>
    </row>
    <row r="155" spans="1:8" ht="15.75" thickBot="1">
      <c r="B155" s="167" t="s">
        <v>304</v>
      </c>
      <c r="C155" s="168">
        <v>500000</v>
      </c>
      <c r="D155" s="700">
        <f>ROUND(SUM(D156,D162,D166,D204,D215),2)</f>
        <v>0</v>
      </c>
      <c r="E155" s="149"/>
      <c r="F155" s="150"/>
      <c r="G155" s="150"/>
      <c r="H155" s="749"/>
    </row>
    <row r="156" spans="1:8" ht="15.75" thickBot="1">
      <c r="A156" s="170"/>
      <c r="B156" s="130" t="s">
        <v>305</v>
      </c>
      <c r="C156" s="130">
        <v>510000</v>
      </c>
      <c r="D156" s="703">
        <f>ROUND(SUM(D157:D160,-D161),2)</f>
        <v>0</v>
      </c>
      <c r="E156" s="149"/>
      <c r="F156" s="150"/>
      <c r="G156" s="150"/>
      <c r="H156" s="749"/>
    </row>
    <row r="157" spans="1:8">
      <c r="A157" s="165"/>
      <c r="B157" s="162" t="s">
        <v>306</v>
      </c>
      <c r="C157" s="127">
        <v>511000</v>
      </c>
      <c r="D157" s="701"/>
      <c r="E157" s="149"/>
      <c r="F157" s="150"/>
      <c r="G157" s="150"/>
      <c r="H157" s="749"/>
    </row>
    <row r="158" spans="1:8">
      <c r="A158" s="147"/>
      <c r="B158" s="163" t="s">
        <v>307</v>
      </c>
      <c r="C158" s="128">
        <v>512000</v>
      </c>
      <c r="D158" s="714"/>
      <c r="E158" s="149"/>
      <c r="F158" s="150"/>
      <c r="G158" s="150"/>
      <c r="H158" s="749"/>
    </row>
    <row r="159" spans="1:8">
      <c r="A159" s="147"/>
      <c r="B159" s="163" t="s">
        <v>308</v>
      </c>
      <c r="C159" s="128">
        <v>513000</v>
      </c>
      <c r="D159" s="714"/>
      <c r="E159" s="149"/>
      <c r="F159" s="150"/>
      <c r="G159" s="150"/>
      <c r="H159" s="749"/>
    </row>
    <row r="160" spans="1:8">
      <c r="A160" s="147"/>
      <c r="B160" s="163" t="s">
        <v>309</v>
      </c>
      <c r="C160" s="128">
        <v>514000</v>
      </c>
      <c r="D160" s="714"/>
      <c r="E160" s="149"/>
      <c r="F160" s="150"/>
      <c r="G160" s="150"/>
      <c r="H160" s="749"/>
    </row>
    <row r="161" spans="1:8" ht="15.75" thickBot="1">
      <c r="A161" s="147"/>
      <c r="B161" s="696" t="s">
        <v>310</v>
      </c>
      <c r="C161" s="129">
        <v>515000</v>
      </c>
      <c r="D161" s="702"/>
      <c r="E161" s="149"/>
      <c r="F161" s="150"/>
      <c r="G161" s="150"/>
      <c r="H161" s="749"/>
    </row>
    <row r="162" spans="1:8" ht="15.75" thickBot="1">
      <c r="A162" s="147"/>
      <c r="B162" s="130" t="s">
        <v>311</v>
      </c>
      <c r="C162" s="130">
        <v>520000</v>
      </c>
      <c r="D162" s="703">
        <f>ROUND(SUM(D163:D165),2)</f>
        <v>0</v>
      </c>
      <c r="E162" s="149"/>
      <c r="F162" s="150"/>
      <c r="G162" s="150"/>
      <c r="H162" s="749"/>
    </row>
    <row r="163" spans="1:8">
      <c r="A163" s="147"/>
      <c r="B163" s="162" t="s">
        <v>312</v>
      </c>
      <c r="C163" s="127">
        <v>521000</v>
      </c>
      <c r="D163" s="701"/>
      <c r="E163" s="149"/>
      <c r="F163" s="150"/>
      <c r="G163" s="150"/>
      <c r="H163" s="749"/>
    </row>
    <row r="164" spans="1:8">
      <c r="A164" s="147"/>
      <c r="B164" s="163" t="s">
        <v>313</v>
      </c>
      <c r="C164" s="128">
        <v>522000</v>
      </c>
      <c r="D164" s="714"/>
      <c r="E164" s="149"/>
      <c r="F164" s="150"/>
      <c r="G164" s="150"/>
      <c r="H164" s="749"/>
    </row>
    <row r="165" spans="1:8" ht="15.75" thickBot="1">
      <c r="A165" s="147"/>
      <c r="B165" s="164" t="s">
        <v>314</v>
      </c>
      <c r="C165" s="129">
        <v>523000</v>
      </c>
      <c r="D165" s="702"/>
      <c r="E165" s="149"/>
      <c r="F165" s="150"/>
      <c r="G165" s="150"/>
      <c r="H165" s="749"/>
    </row>
    <row r="166" spans="1:8" ht="15.75" thickBot="1">
      <c r="A166" s="147"/>
      <c r="B166" s="130" t="s">
        <v>315</v>
      </c>
      <c r="C166" s="130">
        <v>530000</v>
      </c>
      <c r="D166" s="703">
        <f>ROUND(SUM(D167,D174,D177,D182),2)</f>
        <v>0</v>
      </c>
      <c r="E166" s="149"/>
      <c r="F166" s="150"/>
      <c r="G166" s="150"/>
      <c r="H166" s="749"/>
    </row>
    <row r="167" spans="1:8" ht="15.75" thickBot="1">
      <c r="A167" s="147"/>
      <c r="B167" s="155" t="s">
        <v>316</v>
      </c>
      <c r="C167" s="156">
        <v>531000</v>
      </c>
      <c r="D167" s="704">
        <f>ROUND(SUM(D168:D173),2)</f>
        <v>0</v>
      </c>
      <c r="E167" s="149"/>
      <c r="F167" s="150"/>
      <c r="G167" s="150"/>
      <c r="H167" s="749"/>
    </row>
    <row r="168" spans="1:8">
      <c r="A168" s="147"/>
      <c r="B168" s="152" t="s">
        <v>317</v>
      </c>
      <c r="C168" s="142">
        <v>531100</v>
      </c>
      <c r="D168" s="701"/>
      <c r="E168" s="149"/>
      <c r="F168" s="150"/>
      <c r="G168" s="150"/>
      <c r="H168" s="749"/>
    </row>
    <row r="169" spans="1:8">
      <c r="A169" s="147"/>
      <c r="B169" s="153" t="s">
        <v>318</v>
      </c>
      <c r="C169" s="143">
        <v>531200</v>
      </c>
      <c r="D169" s="714"/>
      <c r="E169" s="149"/>
      <c r="F169" s="150"/>
      <c r="G169" s="150"/>
      <c r="H169" s="749"/>
    </row>
    <row r="170" spans="1:8">
      <c r="A170" s="147"/>
      <c r="B170" s="153" t="s">
        <v>319</v>
      </c>
      <c r="C170" s="143">
        <v>531300</v>
      </c>
      <c r="D170" s="714"/>
      <c r="E170" s="149"/>
      <c r="F170" s="150"/>
      <c r="G170" s="150"/>
      <c r="H170" s="749"/>
    </row>
    <row r="171" spans="1:8">
      <c r="A171" s="147"/>
      <c r="B171" s="153" t="s">
        <v>320</v>
      </c>
      <c r="C171" s="143">
        <v>531400</v>
      </c>
      <c r="D171" s="714"/>
      <c r="E171" s="149"/>
      <c r="F171" s="150"/>
      <c r="G171" s="150"/>
      <c r="H171" s="749"/>
    </row>
    <row r="172" spans="1:8">
      <c r="A172" s="147"/>
      <c r="B172" s="153" t="s">
        <v>321</v>
      </c>
      <c r="C172" s="143">
        <v>531500</v>
      </c>
      <c r="D172" s="714"/>
      <c r="E172" s="149"/>
      <c r="F172" s="150"/>
      <c r="G172" s="150"/>
      <c r="H172" s="749"/>
    </row>
    <row r="173" spans="1:8" ht="15.75" thickBot="1">
      <c r="A173" s="147"/>
      <c r="B173" s="154" t="s">
        <v>322</v>
      </c>
      <c r="C173" s="144">
        <v>531600</v>
      </c>
      <c r="D173" s="702"/>
      <c r="E173" s="149"/>
      <c r="F173" s="150"/>
      <c r="G173" s="150"/>
      <c r="H173" s="749"/>
    </row>
    <row r="174" spans="1:8" ht="15.75" thickBot="1">
      <c r="A174" s="147"/>
      <c r="B174" s="159" t="s">
        <v>323</v>
      </c>
      <c r="C174" s="160">
        <v>532000</v>
      </c>
      <c r="D174" s="720">
        <f>ROUND(SUM(D175:D176),2)</f>
        <v>0</v>
      </c>
      <c r="E174" s="149"/>
      <c r="F174" s="150"/>
      <c r="G174" s="150"/>
      <c r="H174" s="749"/>
    </row>
    <row r="175" spans="1:8">
      <c r="A175" s="147"/>
      <c r="B175" s="158" t="s">
        <v>324</v>
      </c>
      <c r="C175" s="143">
        <v>532100</v>
      </c>
      <c r="D175" s="714"/>
      <c r="E175" s="149"/>
      <c r="F175" s="150"/>
      <c r="G175" s="150"/>
      <c r="H175" s="749"/>
    </row>
    <row r="176" spans="1:8" ht="15.75" thickBot="1">
      <c r="A176" s="147"/>
      <c r="B176" s="153" t="s">
        <v>325</v>
      </c>
      <c r="C176" s="143">
        <v>532200</v>
      </c>
      <c r="D176" s="714"/>
      <c r="E176" s="149"/>
      <c r="F176" s="150"/>
      <c r="G176" s="150"/>
      <c r="H176" s="749"/>
    </row>
    <row r="177" spans="1:8" ht="15.75" thickBot="1">
      <c r="A177" s="147"/>
      <c r="B177" s="157" t="s">
        <v>326</v>
      </c>
      <c r="C177" s="156">
        <v>533000</v>
      </c>
      <c r="D177" s="704">
        <f>ROUND(SUM(D178:D181),2)</f>
        <v>0</v>
      </c>
      <c r="E177" s="149"/>
      <c r="F177" s="150"/>
      <c r="G177" s="150"/>
      <c r="H177" s="749"/>
    </row>
    <row r="178" spans="1:8">
      <c r="A178" s="147"/>
      <c r="B178" s="152" t="s">
        <v>327</v>
      </c>
      <c r="C178" s="142">
        <v>533100</v>
      </c>
      <c r="D178" s="701"/>
      <c r="E178" s="149"/>
      <c r="F178" s="150"/>
      <c r="G178" s="150"/>
      <c r="H178" s="749"/>
    </row>
    <row r="179" spans="1:8">
      <c r="A179" s="147"/>
      <c r="B179" s="153" t="s">
        <v>328</v>
      </c>
      <c r="C179" s="143">
        <v>533200</v>
      </c>
      <c r="D179" s="714"/>
      <c r="E179" s="149"/>
      <c r="F179" s="150"/>
      <c r="G179" s="150"/>
      <c r="H179" s="749"/>
    </row>
    <row r="180" spans="1:8">
      <c r="A180" s="147"/>
      <c r="B180" s="153" t="s">
        <v>329</v>
      </c>
      <c r="C180" s="143">
        <v>533300</v>
      </c>
      <c r="D180" s="714"/>
      <c r="E180" s="149"/>
      <c r="F180" s="150"/>
      <c r="G180" s="150"/>
      <c r="H180" s="749"/>
    </row>
    <row r="181" spans="1:8" ht="15.75" thickBot="1">
      <c r="A181" s="147"/>
      <c r="B181" s="154" t="s">
        <v>330</v>
      </c>
      <c r="C181" s="144">
        <v>533500</v>
      </c>
      <c r="D181" s="702"/>
      <c r="E181" s="149"/>
      <c r="F181" s="150"/>
      <c r="G181" s="150"/>
      <c r="H181" s="749"/>
    </row>
    <row r="182" spans="1:8" ht="15.75" thickBot="1">
      <c r="A182" s="147"/>
      <c r="B182" s="155" t="s">
        <v>331</v>
      </c>
      <c r="C182" s="156">
        <v>534000</v>
      </c>
      <c r="D182" s="704">
        <f>ROUND(SUM(D183:D203),2)</f>
        <v>0</v>
      </c>
      <c r="E182" s="149"/>
      <c r="F182" s="150"/>
      <c r="G182" s="150"/>
      <c r="H182" s="749"/>
    </row>
    <row r="183" spans="1:8">
      <c r="A183" s="147"/>
      <c r="B183" s="152" t="s">
        <v>332</v>
      </c>
      <c r="C183" s="142">
        <v>534010</v>
      </c>
      <c r="D183" s="701"/>
      <c r="E183" s="149"/>
      <c r="F183" s="150"/>
      <c r="G183" s="150"/>
      <c r="H183" s="749"/>
    </row>
    <row r="184" spans="1:8">
      <c r="A184" s="147"/>
      <c r="B184" s="153" t="s">
        <v>333</v>
      </c>
      <c r="C184" s="143">
        <v>534020</v>
      </c>
      <c r="D184" s="714"/>
      <c r="E184" s="149"/>
      <c r="F184" s="150"/>
      <c r="G184" s="150"/>
      <c r="H184" s="749"/>
    </row>
    <row r="185" spans="1:8">
      <c r="A185" s="147"/>
      <c r="B185" s="153" t="s">
        <v>334</v>
      </c>
      <c r="C185" s="143">
        <v>534030</v>
      </c>
      <c r="D185" s="714"/>
      <c r="E185" s="149"/>
      <c r="F185" s="150"/>
      <c r="G185" s="150"/>
      <c r="H185" s="749"/>
    </row>
    <row r="186" spans="1:8">
      <c r="A186" s="147"/>
      <c r="B186" s="153" t="s">
        <v>335</v>
      </c>
      <c r="C186" s="143">
        <v>534040</v>
      </c>
      <c r="D186" s="714"/>
      <c r="E186" s="149"/>
      <c r="F186" s="150"/>
      <c r="G186" s="150"/>
      <c r="H186" s="749"/>
    </row>
    <row r="187" spans="1:8">
      <c r="A187" s="147"/>
      <c r="B187" s="153" t="s">
        <v>336</v>
      </c>
      <c r="C187" s="143">
        <v>534050</v>
      </c>
      <c r="D187" s="714"/>
      <c r="E187" s="149"/>
      <c r="F187" s="150"/>
      <c r="G187" s="150"/>
      <c r="H187" s="749"/>
    </row>
    <row r="188" spans="1:8">
      <c r="A188" s="147"/>
      <c r="B188" s="153" t="s">
        <v>337</v>
      </c>
      <c r="C188" s="143">
        <v>534060</v>
      </c>
      <c r="D188" s="714"/>
      <c r="E188" s="149"/>
      <c r="F188" s="150"/>
      <c r="G188" s="150"/>
      <c r="H188" s="749"/>
    </row>
    <row r="189" spans="1:8">
      <c r="A189" s="147"/>
      <c r="B189" s="153" t="s">
        <v>338</v>
      </c>
      <c r="C189" s="143">
        <v>534070</v>
      </c>
      <c r="D189" s="714"/>
      <c r="E189" s="149"/>
      <c r="F189" s="150"/>
      <c r="G189" s="150"/>
      <c r="H189" s="749"/>
    </row>
    <row r="190" spans="1:8">
      <c r="A190" s="147"/>
      <c r="B190" s="153" t="s">
        <v>339</v>
      </c>
      <c r="C190" s="143">
        <v>534090</v>
      </c>
      <c r="D190" s="714"/>
      <c r="E190" s="149"/>
      <c r="F190" s="150"/>
      <c r="G190" s="150"/>
      <c r="H190" s="749"/>
    </row>
    <row r="191" spans="1:8">
      <c r="A191" s="147"/>
      <c r="B191" s="153" t="s">
        <v>340</v>
      </c>
      <c r="C191" s="143">
        <v>534100</v>
      </c>
      <c r="D191" s="714"/>
      <c r="E191" s="149"/>
      <c r="F191" s="150"/>
      <c r="G191" s="150"/>
      <c r="H191" s="749"/>
    </row>
    <row r="192" spans="1:8">
      <c r="A192" s="147"/>
      <c r="B192" s="153" t="s">
        <v>341</v>
      </c>
      <c r="C192" s="143">
        <v>534110</v>
      </c>
      <c r="D192" s="714"/>
      <c r="E192" s="149"/>
      <c r="F192" s="150"/>
      <c r="G192" s="150"/>
      <c r="H192" s="749"/>
    </row>
    <row r="193" spans="1:8">
      <c r="A193" s="147"/>
      <c r="B193" s="153" t="s">
        <v>342</v>
      </c>
      <c r="C193" s="143">
        <v>534120</v>
      </c>
      <c r="D193" s="714"/>
      <c r="E193" s="149"/>
      <c r="F193" s="150"/>
      <c r="G193" s="150"/>
      <c r="H193" s="749"/>
    </row>
    <row r="194" spans="1:8">
      <c r="A194" s="147"/>
      <c r="B194" s="153" t="s">
        <v>343</v>
      </c>
      <c r="C194" s="143">
        <v>534130</v>
      </c>
      <c r="D194" s="714"/>
      <c r="E194" s="149"/>
      <c r="F194" s="150"/>
      <c r="G194" s="150"/>
      <c r="H194" s="749"/>
    </row>
    <row r="195" spans="1:8">
      <c r="A195" s="147"/>
      <c r="B195" s="153" t="s">
        <v>344</v>
      </c>
      <c r="C195" s="143">
        <v>534140</v>
      </c>
      <c r="D195" s="714"/>
      <c r="E195" s="149"/>
      <c r="F195" s="150"/>
      <c r="G195" s="150"/>
      <c r="H195" s="749"/>
    </row>
    <row r="196" spans="1:8">
      <c r="A196" s="147"/>
      <c r="B196" s="153" t="s">
        <v>345</v>
      </c>
      <c r="C196" s="143">
        <v>534150</v>
      </c>
      <c r="D196" s="714"/>
      <c r="E196" s="149"/>
      <c r="F196" s="150"/>
      <c r="G196" s="150"/>
      <c r="H196" s="749"/>
    </row>
    <row r="197" spans="1:8">
      <c r="A197" s="147"/>
      <c r="B197" s="153" t="s">
        <v>346</v>
      </c>
      <c r="C197" s="143">
        <v>534160</v>
      </c>
      <c r="D197" s="714"/>
      <c r="E197" s="149"/>
      <c r="F197" s="150"/>
      <c r="G197" s="150"/>
      <c r="H197" s="749"/>
    </row>
    <row r="198" spans="1:8">
      <c r="A198" s="147"/>
      <c r="B198" s="153" t="s">
        <v>347</v>
      </c>
      <c r="C198" s="143">
        <v>534170</v>
      </c>
      <c r="D198" s="714"/>
      <c r="E198" s="149"/>
      <c r="F198" s="150"/>
      <c r="G198" s="150"/>
      <c r="H198" s="749"/>
    </row>
    <row r="199" spans="1:8">
      <c r="A199" s="147"/>
      <c r="B199" s="153" t="s">
        <v>348</v>
      </c>
      <c r="C199" s="143">
        <v>534180</v>
      </c>
      <c r="D199" s="714"/>
      <c r="E199" s="149"/>
      <c r="F199" s="150"/>
      <c r="G199" s="150"/>
      <c r="H199" s="749"/>
    </row>
    <row r="200" spans="1:8">
      <c r="A200" s="147"/>
      <c r="B200" s="153" t="s">
        <v>349</v>
      </c>
      <c r="C200" s="143">
        <v>534190</v>
      </c>
      <c r="D200" s="714"/>
      <c r="E200" s="149"/>
      <c r="F200" s="150"/>
      <c r="G200" s="150"/>
      <c r="H200" s="749"/>
    </row>
    <row r="201" spans="1:8">
      <c r="A201" s="147"/>
      <c r="B201" s="153" t="s">
        <v>350</v>
      </c>
      <c r="C201" s="143">
        <v>534200</v>
      </c>
      <c r="D201" s="714"/>
      <c r="E201" s="149"/>
      <c r="F201" s="150"/>
      <c r="G201" s="150"/>
      <c r="H201" s="749"/>
    </row>
    <row r="202" spans="1:8">
      <c r="A202" s="147"/>
      <c r="B202" s="153" t="s">
        <v>351</v>
      </c>
      <c r="C202" s="143">
        <v>534210</v>
      </c>
      <c r="D202" s="714"/>
      <c r="E202" s="149"/>
      <c r="F202" s="150"/>
      <c r="G202" s="150"/>
      <c r="H202" s="749"/>
    </row>
    <row r="203" spans="1:8" ht="15.75" thickBot="1">
      <c r="A203" s="147"/>
      <c r="B203" s="154" t="s">
        <v>352</v>
      </c>
      <c r="C203" s="144">
        <v>534220</v>
      </c>
      <c r="D203" s="702"/>
      <c r="E203" s="149"/>
      <c r="F203" s="150"/>
      <c r="G203" s="150"/>
      <c r="H203" s="749"/>
    </row>
    <row r="204" spans="1:8" ht="15.75" thickBot="1">
      <c r="A204" s="147"/>
      <c r="B204" s="148" t="s">
        <v>353</v>
      </c>
      <c r="C204" s="148">
        <v>540000</v>
      </c>
      <c r="D204" s="699">
        <f>ROUND(SUM(D205:D214),2)</f>
        <v>0</v>
      </c>
      <c r="E204" s="149"/>
      <c r="F204" s="150"/>
      <c r="G204" s="150"/>
      <c r="H204" s="749"/>
    </row>
    <row r="205" spans="1:8">
      <c r="A205" s="147"/>
      <c r="B205" s="136" t="s">
        <v>354</v>
      </c>
      <c r="C205" s="142">
        <v>540100</v>
      </c>
      <c r="D205" s="701"/>
      <c r="E205" s="149"/>
      <c r="F205" s="150"/>
      <c r="G205" s="150"/>
      <c r="H205" s="749"/>
    </row>
    <row r="206" spans="1:8">
      <c r="A206" s="147"/>
      <c r="B206" s="137" t="s">
        <v>355</v>
      </c>
      <c r="C206" s="143">
        <v>540200</v>
      </c>
      <c r="D206" s="714"/>
      <c r="E206" s="149"/>
      <c r="F206" s="150"/>
      <c r="G206" s="150"/>
      <c r="H206" s="749"/>
    </row>
    <row r="207" spans="1:8" ht="25.5">
      <c r="A207" s="147"/>
      <c r="B207" s="137" t="s">
        <v>356</v>
      </c>
      <c r="C207" s="143">
        <v>540300</v>
      </c>
      <c r="D207" s="714"/>
      <c r="E207" s="149"/>
      <c r="F207" s="150"/>
      <c r="G207" s="150"/>
      <c r="H207" s="749"/>
    </row>
    <row r="208" spans="1:8">
      <c r="A208" s="147"/>
      <c r="B208" s="137" t="s">
        <v>357</v>
      </c>
      <c r="C208" s="143">
        <v>540400</v>
      </c>
      <c r="D208" s="714"/>
      <c r="E208" s="149"/>
      <c r="F208" s="150"/>
      <c r="G208" s="150"/>
      <c r="H208" s="749"/>
    </row>
    <row r="209" spans="1:8" ht="25.5">
      <c r="A209" s="147"/>
      <c r="B209" s="137" t="s">
        <v>358</v>
      </c>
      <c r="C209" s="143">
        <v>540500</v>
      </c>
      <c r="D209" s="714"/>
      <c r="E209" s="149"/>
      <c r="F209" s="150"/>
      <c r="G209" s="150"/>
      <c r="H209" s="749"/>
    </row>
    <row r="210" spans="1:8" ht="25.5">
      <c r="A210" s="147"/>
      <c r="B210" s="137" t="s">
        <v>359</v>
      </c>
      <c r="C210" s="143">
        <v>540600</v>
      </c>
      <c r="D210" s="714"/>
      <c r="E210" s="149"/>
      <c r="F210" s="150"/>
      <c r="G210" s="150"/>
      <c r="H210" s="749"/>
    </row>
    <row r="211" spans="1:8">
      <c r="A211" s="147"/>
      <c r="B211" s="137" t="s">
        <v>360</v>
      </c>
      <c r="C211" s="143">
        <v>540700</v>
      </c>
      <c r="D211" s="714"/>
      <c r="E211" s="149"/>
      <c r="F211" s="150"/>
      <c r="G211" s="150"/>
      <c r="H211" s="749"/>
    </row>
    <row r="212" spans="1:8">
      <c r="A212" s="147"/>
      <c r="B212" s="137" t="s">
        <v>361</v>
      </c>
      <c r="C212" s="143">
        <v>540800</v>
      </c>
      <c r="D212" s="714"/>
      <c r="E212" s="149"/>
      <c r="F212" s="150"/>
      <c r="G212" s="150"/>
      <c r="H212" s="749"/>
    </row>
    <row r="213" spans="1:8">
      <c r="A213" s="147"/>
      <c r="B213" s="137" t="s">
        <v>362</v>
      </c>
      <c r="C213" s="143">
        <v>540900</v>
      </c>
      <c r="D213" s="714"/>
      <c r="E213" s="149"/>
      <c r="F213" s="150"/>
      <c r="G213" s="150"/>
      <c r="H213" s="749"/>
    </row>
    <row r="214" spans="1:8" ht="15.75" thickBot="1">
      <c r="A214" s="147"/>
      <c r="B214" s="141" t="s">
        <v>363</v>
      </c>
      <c r="C214" s="144">
        <v>540901</v>
      </c>
      <c r="D214" s="702"/>
      <c r="E214" s="149"/>
      <c r="F214" s="150"/>
      <c r="G214" s="150"/>
      <c r="H214" s="749"/>
    </row>
    <row r="215" spans="1:8" ht="15.75" thickBot="1">
      <c r="A215" s="147"/>
      <c r="B215" s="148" t="s">
        <v>364</v>
      </c>
      <c r="C215" s="148">
        <v>550000</v>
      </c>
      <c r="D215" s="699">
        <f>ROUND(SUM(D216:D217),2)</f>
        <v>0</v>
      </c>
      <c r="E215" s="149"/>
      <c r="F215" s="150"/>
      <c r="G215" s="150"/>
      <c r="H215" s="749"/>
    </row>
    <row r="216" spans="1:8">
      <c r="A216" s="147"/>
      <c r="B216" s="136" t="s">
        <v>365</v>
      </c>
      <c r="C216" s="142">
        <v>551000</v>
      </c>
      <c r="D216" s="701"/>
      <c r="E216" s="149"/>
      <c r="F216" s="150"/>
      <c r="G216" s="150"/>
      <c r="H216" s="749"/>
    </row>
    <row r="217" spans="1:8" ht="15.75" thickBot="1">
      <c r="A217" s="147"/>
      <c r="B217" s="141" t="s">
        <v>366</v>
      </c>
      <c r="C217" s="144">
        <v>552000</v>
      </c>
      <c r="D217" s="702"/>
      <c r="E217" s="149"/>
      <c r="F217" s="150"/>
      <c r="G217" s="150"/>
      <c r="H217" s="749"/>
    </row>
    <row r="218" spans="1:8" ht="15.75" thickBot="1">
      <c r="A218" s="44" t="s">
        <v>367</v>
      </c>
      <c r="B218" s="151"/>
      <c r="C218" s="55"/>
      <c r="D218" s="721">
        <f>ROUND(SUM(D10,D71,D155),2)</f>
        <v>0</v>
      </c>
      <c r="E218" s="44" t="s">
        <v>367</v>
      </c>
      <c r="F218" s="151"/>
      <c r="G218" s="151"/>
      <c r="H218" s="703">
        <f>ROUND(SUM(H10,H84,H53,H105),2)</f>
        <v>0</v>
      </c>
    </row>
    <row r="219" spans="1:8" ht="15.75" thickBot="1"/>
    <row r="220" spans="1:8" ht="15.75" thickBot="1">
      <c r="A220" s="923"/>
      <c r="B220" s="245" t="s">
        <v>368</v>
      </c>
      <c r="C220" s="750" t="s">
        <v>119</v>
      </c>
      <c r="D220" s="751" t="s">
        <v>120</v>
      </c>
      <c r="F220" s="753"/>
      <c r="G220" s="753"/>
      <c r="H220" s="754">
        <f>D218-H218</f>
        <v>0</v>
      </c>
    </row>
    <row r="221" spans="1:8" ht="15.75" thickBot="1">
      <c r="B221" s="240" t="s">
        <v>369</v>
      </c>
      <c r="C221" s="161">
        <v>610000</v>
      </c>
      <c r="D221" s="726">
        <f>ROUND(SUM(D222:D225),2)</f>
        <v>0</v>
      </c>
      <c r="F221" s="755" t="s">
        <v>370</v>
      </c>
      <c r="G221" s="755"/>
      <c r="H221" s="756">
        <f>ROUND(SUM(H222-H223),2)</f>
        <v>0</v>
      </c>
    </row>
    <row r="222" spans="1:8">
      <c r="B222" s="949" t="s">
        <v>371</v>
      </c>
      <c r="C222" s="191">
        <v>610100</v>
      </c>
      <c r="D222" s="738"/>
      <c r="F222" s="757" t="s">
        <v>372</v>
      </c>
      <c r="G222" s="757"/>
      <c r="H222" s="758">
        <f>+H105</f>
        <v>0</v>
      </c>
    </row>
    <row r="223" spans="1:8">
      <c r="B223" s="949" t="s">
        <v>373</v>
      </c>
      <c r="C223" s="191">
        <v>610200</v>
      </c>
      <c r="D223" s="738"/>
      <c r="F223" s="757" t="s">
        <v>374</v>
      </c>
      <c r="G223" s="757"/>
      <c r="H223" s="758">
        <f>+D155</f>
        <v>0</v>
      </c>
    </row>
    <row r="224" spans="1:8">
      <c r="B224" s="949" t="s">
        <v>375</v>
      </c>
      <c r="C224" s="191">
        <v>610300</v>
      </c>
      <c r="D224" s="738"/>
    </row>
    <row r="225" spans="2:4" ht="15.75" thickBot="1">
      <c r="B225" s="949" t="s">
        <v>376</v>
      </c>
      <c r="C225" s="191">
        <v>610400</v>
      </c>
      <c r="D225" s="738"/>
    </row>
    <row r="226" spans="2:4" ht="15.75" thickBot="1">
      <c r="B226" s="240" t="s">
        <v>377</v>
      </c>
      <c r="C226" s="161">
        <v>620000</v>
      </c>
      <c r="D226" s="726">
        <f>ROUND(SUM(D227:D229),2)</f>
        <v>0</v>
      </c>
    </row>
    <row r="227" spans="2:4">
      <c r="B227" s="949" t="s">
        <v>237</v>
      </c>
      <c r="C227" s="191">
        <v>621000</v>
      </c>
      <c r="D227" s="738"/>
    </row>
    <row r="228" spans="2:4">
      <c r="B228" s="949" t="s">
        <v>235</v>
      </c>
      <c r="C228" s="191">
        <v>622000</v>
      </c>
      <c r="D228" s="738"/>
    </row>
    <row r="229" spans="2:4" ht="15.75" thickBot="1">
      <c r="B229" s="949" t="s">
        <v>378</v>
      </c>
      <c r="C229" s="191">
        <v>623000</v>
      </c>
      <c r="D229" s="738"/>
    </row>
    <row r="230" spans="2:4" ht="15.75" thickBot="1">
      <c r="B230" s="240" t="s">
        <v>379</v>
      </c>
      <c r="C230" s="161">
        <v>630000</v>
      </c>
      <c r="D230" s="726">
        <f>ROUND(SUM(D231:D235),2)</f>
        <v>0</v>
      </c>
    </row>
    <row r="231" spans="2:4">
      <c r="B231" s="949" t="s">
        <v>380</v>
      </c>
      <c r="C231" s="191">
        <v>631000</v>
      </c>
      <c r="D231" s="738"/>
    </row>
    <row r="232" spans="2:4">
      <c r="B232" s="949" t="s">
        <v>381</v>
      </c>
      <c r="C232" s="191">
        <v>632000</v>
      </c>
      <c r="D232" s="738"/>
    </row>
    <row r="233" spans="2:4">
      <c r="B233" s="949" t="s">
        <v>382</v>
      </c>
      <c r="C233" s="191">
        <v>633000</v>
      </c>
      <c r="D233" s="738"/>
    </row>
    <row r="234" spans="2:4">
      <c r="B234" s="949" t="s">
        <v>383</v>
      </c>
      <c r="C234" s="191">
        <v>634000</v>
      </c>
      <c r="D234" s="738"/>
    </row>
    <row r="235" spans="2:4" ht="15.75" thickBot="1">
      <c r="B235" s="949" t="s">
        <v>384</v>
      </c>
      <c r="C235" s="191">
        <v>635000</v>
      </c>
      <c r="D235" s="738"/>
    </row>
    <row r="236" spans="2:4" ht="15.75" thickBot="1">
      <c r="B236" s="240" t="s">
        <v>385</v>
      </c>
      <c r="C236" s="161">
        <v>640000</v>
      </c>
      <c r="D236" s="726">
        <f>ROUND(SUM(D237:D239),2)</f>
        <v>0</v>
      </c>
    </row>
    <row r="237" spans="2:4">
      <c r="B237" s="949" t="s">
        <v>237</v>
      </c>
      <c r="C237" s="191">
        <v>641000</v>
      </c>
      <c r="D237" s="738"/>
    </row>
    <row r="238" spans="2:4">
      <c r="B238" s="949" t="s">
        <v>235</v>
      </c>
      <c r="C238" s="191">
        <v>642000</v>
      </c>
      <c r="D238" s="738"/>
    </row>
    <row r="239" spans="2:4" ht="15.75" thickBot="1">
      <c r="B239" s="949" t="s">
        <v>386</v>
      </c>
      <c r="C239" s="191">
        <v>643000</v>
      </c>
      <c r="D239" s="738"/>
    </row>
    <row r="240" spans="2:4" ht="15.75" thickBot="1">
      <c r="B240" s="240" t="s">
        <v>387</v>
      </c>
      <c r="C240" s="161">
        <v>650000</v>
      </c>
      <c r="D240" s="726">
        <f>ROUND(SUM(D241:D245),2)</f>
        <v>0</v>
      </c>
    </row>
    <row r="241" spans="1:8">
      <c r="B241" s="949" t="s">
        <v>388</v>
      </c>
      <c r="C241" s="191">
        <v>651000</v>
      </c>
      <c r="D241" s="738"/>
    </row>
    <row r="242" spans="1:8">
      <c r="B242" s="949" t="s">
        <v>389</v>
      </c>
      <c r="C242" s="191">
        <v>652000</v>
      </c>
      <c r="D242" s="738"/>
    </row>
    <row r="243" spans="1:8">
      <c r="B243" s="949" t="s">
        <v>390</v>
      </c>
      <c r="C243" s="191">
        <v>653000</v>
      </c>
      <c r="D243" s="738"/>
    </row>
    <row r="244" spans="1:8">
      <c r="B244" s="949" t="s">
        <v>391</v>
      </c>
      <c r="C244" s="191">
        <v>654000</v>
      </c>
      <c r="D244" s="738"/>
    </row>
    <row r="245" spans="1:8" ht="15.75" thickBot="1">
      <c r="B245" s="950" t="s">
        <v>211</v>
      </c>
      <c r="C245" s="259">
        <v>655000</v>
      </c>
      <c r="D245" s="728"/>
    </row>
    <row r="247" spans="1:8">
      <c r="A247" s="1416" t="s">
        <v>111</v>
      </c>
      <c r="B247" s="1416"/>
      <c r="C247" s="1416"/>
      <c r="D247" s="1416"/>
      <c r="E247" s="1416"/>
      <c r="F247" s="1416"/>
      <c r="G247" s="1416"/>
      <c r="H247" s="1416"/>
    </row>
    <row r="248" spans="1:8">
      <c r="A248" s="1417" t="s">
        <v>112</v>
      </c>
      <c r="B248" s="1417"/>
      <c r="C248" s="1417"/>
      <c r="D248" s="1417"/>
      <c r="E248" s="1417"/>
      <c r="F248" s="1417"/>
      <c r="G248" s="1417"/>
      <c r="H248" s="1417"/>
    </row>
    <row r="249" spans="1:8">
      <c r="A249" s="3"/>
      <c r="B249" s="3"/>
      <c r="C249" s="3"/>
      <c r="D249" s="1"/>
      <c r="E249" s="1"/>
      <c r="F249" s="1"/>
      <c r="G249" s="1"/>
      <c r="H249" s="948"/>
    </row>
    <row r="250" spans="1:8">
      <c r="A250" s="3"/>
      <c r="B250" s="3"/>
      <c r="C250" s="1"/>
      <c r="D250" s="40" t="s">
        <v>392</v>
      </c>
      <c r="E250" s="1"/>
      <c r="F250" s="1" t="str">
        <f>+STATISTICS!C112</f>
        <v>/Нэр/</v>
      </c>
      <c r="G250" s="1"/>
      <c r="H250" s="948"/>
    </row>
    <row r="251" spans="1:8">
      <c r="A251" s="3"/>
      <c r="B251" s="3"/>
      <c r="C251" s="1"/>
      <c r="D251" s="42"/>
      <c r="E251" s="1"/>
      <c r="F251" s="1"/>
      <c r="G251" s="1"/>
      <c r="H251" s="948"/>
    </row>
    <row r="252" spans="1:8">
      <c r="A252" s="3"/>
      <c r="B252" s="3"/>
      <c r="C252" s="1"/>
      <c r="D252" s="40" t="s">
        <v>115</v>
      </c>
      <c r="E252" s="1"/>
      <c r="F252" s="1" t="str">
        <f>+STATISTICS!C114</f>
        <v>/Нэр/</v>
      </c>
      <c r="G252" s="1"/>
      <c r="H252" s="948"/>
    </row>
  </sheetData>
  <sheetProtection algorithmName="SHA-512" hashValue="pJg2Yr73X5S6ugZdhId95n/stj3Ioc90wx78js6IbOr6yJXy7QiSjWLJ8MCLgTL3SRJSBdstYWuIM/qWzfePwA==" saltValue="bH997/fhmJf1QEk9hPuUDg==" spinCount="100000" sheet="1" objects="1" scenarios="1"/>
  <mergeCells count="7">
    <mergeCell ref="A247:H247"/>
    <mergeCell ref="A248:H248"/>
    <mergeCell ref="F1:H1"/>
    <mergeCell ref="F2:H2"/>
    <mergeCell ref="A4:H4"/>
    <mergeCell ref="A5:H5"/>
    <mergeCell ref="A6:H6"/>
  </mergeCells>
  <dataValidations count="2">
    <dataValidation type="decimal" allowBlank="1" showInputMessage="1" showErrorMessage="1" sqref="H253:H1048576 D1:D246 D253:D1048576 H1:H103 H105:H246" xr:uid="{C3C85A6A-3506-4AE4-AE33-A6793BA3A9DB}">
      <formula1>0</formula1>
      <formula2>1E+32</formula2>
    </dataValidation>
    <dataValidation type="decimal" allowBlank="1" showInputMessage="1" showErrorMessage="1" sqref="H104" xr:uid="{05E678D3-8A9B-4E36-9CCE-C7C610CDD309}">
      <formula1>-1000000000000000000</formula1>
      <formula2>1E+32</formula2>
    </dataValidation>
  </dataValidations>
  <pageMargins left="0.7" right="0.7"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84195-447F-4BB0-98D4-F645AB40609E}">
  <dimension ref="A1:H87"/>
  <sheetViews>
    <sheetView topLeftCell="A52" zoomScale="85" zoomScaleNormal="85" workbookViewId="0">
      <selection activeCell="F12" sqref="F12"/>
    </sheetView>
  </sheetViews>
  <sheetFormatPr defaultRowHeight="15"/>
  <cols>
    <col min="1" max="1" width="6.7109375" style="112" bestFit="1" customWidth="1"/>
    <col min="2" max="2" width="42.85546875" style="113" customWidth="1"/>
    <col min="3" max="3" width="35.42578125" style="119" customWidth="1"/>
    <col min="4" max="4" width="16" style="120" customWidth="1"/>
    <col min="5" max="5" width="8.140625" style="116" bestFit="1" customWidth="1"/>
    <col min="6" max="6" width="50.85546875" style="113" customWidth="1"/>
    <col min="7" max="7" width="32.7109375" style="121" customWidth="1"/>
    <col min="8" max="8" width="13.7109375" style="122" customWidth="1"/>
  </cols>
  <sheetData>
    <row r="1" spans="1:8" s="166" customFormat="1">
      <c r="A1" s="1"/>
      <c r="B1" s="1072"/>
      <c r="C1" s="1"/>
      <c r="D1" s="921"/>
      <c r="E1" s="1"/>
      <c r="F1" s="1418"/>
      <c r="G1" s="1418"/>
      <c r="H1" s="1418"/>
    </row>
    <row r="2" spans="1:8" s="166" customFormat="1">
      <c r="A2" s="1"/>
      <c r="B2" s="1072"/>
      <c r="C2" s="1"/>
      <c r="D2" s="921"/>
      <c r="E2" s="1"/>
      <c r="F2" s="1418"/>
      <c r="G2" s="1418"/>
      <c r="H2" s="1418"/>
    </row>
    <row r="3" spans="1:8" s="166" customFormat="1">
      <c r="A3" s="1"/>
      <c r="B3" s="1072"/>
      <c r="C3" s="1"/>
      <c r="D3" s="921"/>
      <c r="E3" s="1"/>
      <c r="F3" s="1018"/>
      <c r="G3" s="58"/>
      <c r="H3" s="922"/>
    </row>
    <row r="4" spans="1:8" s="166" customFormat="1">
      <c r="A4" s="1419" t="s">
        <v>393</v>
      </c>
      <c r="B4" s="1419"/>
      <c r="C4" s="1419"/>
      <c r="D4" s="1419"/>
      <c r="E4" s="1419"/>
      <c r="F4" s="1419"/>
      <c r="G4" s="1419"/>
      <c r="H4" s="1419"/>
    </row>
    <row r="5" spans="1:8" s="166" customFormat="1">
      <c r="A5" s="1420" t="str">
        <f>+STATISTICS!A5</f>
        <v>ХАДГАЛАМЖ, ЗЭЭЛИЙН ХОРШООНЫ НЭР</v>
      </c>
      <c r="B5" s="1420"/>
      <c r="C5" s="1420"/>
      <c r="D5" s="1420"/>
      <c r="E5" s="1420"/>
      <c r="F5" s="1420"/>
      <c r="G5" s="1420"/>
      <c r="H5" s="1420"/>
    </row>
    <row r="6" spans="1:8" s="166" customFormat="1">
      <c r="A6" s="1419" t="s">
        <v>38</v>
      </c>
      <c r="B6" s="1419"/>
      <c r="C6" s="1419"/>
      <c r="D6" s="1419"/>
      <c r="E6" s="1419"/>
      <c r="F6" s="1419"/>
      <c r="G6" s="1419"/>
      <c r="H6" s="1419"/>
    </row>
    <row r="7" spans="1:8" s="166" customFormat="1">
      <c r="A7" s="5"/>
      <c r="B7" s="1073"/>
      <c r="C7" s="5"/>
      <c r="D7" s="5"/>
      <c r="E7" s="5"/>
      <c r="F7" s="1073"/>
      <c r="G7" s="5"/>
      <c r="H7" s="5"/>
    </row>
    <row r="8" spans="1:8" s="166" customFormat="1" ht="15.75" thickBot="1">
      <c r="A8" s="275"/>
      <c r="B8" s="1074"/>
      <c r="C8" s="2"/>
      <c r="D8" s="697"/>
      <c r="E8" s="3"/>
      <c r="F8" s="1082"/>
      <c r="G8" s="3"/>
      <c r="H8" s="722" t="s">
        <v>117</v>
      </c>
    </row>
    <row r="9" spans="1:8" ht="27" thickBot="1">
      <c r="A9" s="72"/>
      <c r="B9" s="73" t="s">
        <v>118</v>
      </c>
      <c r="C9" s="74" t="s">
        <v>120</v>
      </c>
      <c r="D9" s="75" t="s">
        <v>394</v>
      </c>
      <c r="E9" s="76"/>
      <c r="F9" s="77" t="s">
        <v>121</v>
      </c>
      <c r="G9" s="74" t="s">
        <v>120</v>
      </c>
      <c r="H9" s="75" t="s">
        <v>394</v>
      </c>
    </row>
    <row r="10" spans="1:8" ht="15.75" thickBot="1">
      <c r="A10" s="78">
        <v>1</v>
      </c>
      <c r="B10" s="79" t="s">
        <v>122</v>
      </c>
      <c r="C10" s="282">
        <f>ROUND(SUM(C11,C18,C32),2)</f>
        <v>0</v>
      </c>
      <c r="D10" s="80" t="e">
        <f t="shared" ref="D10:D41" si="0">+C10/$C$78</f>
        <v>#DIV/0!</v>
      </c>
      <c r="E10" s="81">
        <v>2</v>
      </c>
      <c r="F10" s="82" t="s">
        <v>123</v>
      </c>
      <c r="G10" s="110">
        <f>+SUM(G11,G23,G38)</f>
        <v>0</v>
      </c>
      <c r="H10" s="80" t="e">
        <f t="shared" ref="H10:H75" si="1">+G10/$C$78</f>
        <v>#DIV/0!</v>
      </c>
    </row>
    <row r="11" spans="1:8" ht="15" customHeight="1" thickBot="1">
      <c r="A11" s="78">
        <v>1.1000000000000001</v>
      </c>
      <c r="B11" s="83" t="s">
        <v>124</v>
      </c>
      <c r="C11" s="84">
        <f>ROUND(SUM(C12:C17),2)</f>
        <v>0</v>
      </c>
      <c r="D11" s="80" t="e">
        <f t="shared" si="0"/>
        <v>#DIV/0!</v>
      </c>
      <c r="E11" s="85">
        <v>2.1</v>
      </c>
      <c r="F11" s="83" t="s">
        <v>125</v>
      </c>
      <c r="G11" s="86">
        <f>+SUM(G13:G14,G22)</f>
        <v>0</v>
      </c>
      <c r="H11" s="80" t="e">
        <f t="shared" si="1"/>
        <v>#DIV/0!</v>
      </c>
    </row>
    <row r="12" spans="1:8" ht="15.75" thickBot="1">
      <c r="A12" s="87" t="s">
        <v>395</v>
      </c>
      <c r="B12" s="88" t="s">
        <v>396</v>
      </c>
      <c r="C12" s="89">
        <f>+Balance!D12</f>
        <v>0</v>
      </c>
      <c r="D12" s="80" t="e">
        <f t="shared" si="0"/>
        <v>#DIV/0!</v>
      </c>
      <c r="E12" s="90" t="s">
        <v>397</v>
      </c>
      <c r="F12" s="92" t="s">
        <v>398</v>
      </c>
      <c r="G12" s="94">
        <f>+G13+G14</f>
        <v>0</v>
      </c>
      <c r="H12" s="80" t="e">
        <f>+G12/$C$78</f>
        <v>#DIV/0!</v>
      </c>
    </row>
    <row r="13" spans="1:8" ht="26.25" thickBot="1">
      <c r="A13" s="87" t="s">
        <v>399</v>
      </c>
      <c r="B13" s="88" t="s">
        <v>400</v>
      </c>
      <c r="C13" s="89">
        <f>+Balance!D16</f>
        <v>0</v>
      </c>
      <c r="D13" s="80" t="e">
        <f t="shared" si="0"/>
        <v>#DIV/0!</v>
      </c>
      <c r="E13" s="90" t="s">
        <v>401</v>
      </c>
      <c r="F13" s="252" t="s">
        <v>127</v>
      </c>
      <c r="G13" s="91">
        <f>+Balance!H12</f>
        <v>0</v>
      </c>
      <c r="H13" s="80" t="e">
        <f t="shared" si="1"/>
        <v>#DIV/0!</v>
      </c>
    </row>
    <row r="14" spans="1:8" ht="15.75" thickBot="1">
      <c r="A14" s="87" t="s">
        <v>402</v>
      </c>
      <c r="B14" s="88" t="s">
        <v>403</v>
      </c>
      <c r="C14" s="89">
        <f>+Balance!D19</f>
        <v>0</v>
      </c>
      <c r="D14" s="80" t="e">
        <f t="shared" si="0"/>
        <v>#DIV/0!</v>
      </c>
      <c r="E14" s="90" t="s">
        <v>404</v>
      </c>
      <c r="F14" s="252" t="s">
        <v>132</v>
      </c>
      <c r="G14" s="91">
        <f>+SUM(G15:G21)</f>
        <v>0</v>
      </c>
      <c r="H14" s="80" t="e">
        <f t="shared" si="1"/>
        <v>#DIV/0!</v>
      </c>
    </row>
    <row r="15" spans="1:8" ht="15.75" thickBot="1">
      <c r="A15" s="87" t="s">
        <v>405</v>
      </c>
      <c r="B15" s="88" t="s">
        <v>145</v>
      </c>
      <c r="C15" s="89">
        <f>+Balance!D22</f>
        <v>0</v>
      </c>
      <c r="D15" s="80" t="e">
        <f t="shared" si="0"/>
        <v>#DIV/0!</v>
      </c>
      <c r="E15" s="90" t="s">
        <v>406</v>
      </c>
      <c r="F15" s="88" t="s">
        <v>134</v>
      </c>
      <c r="G15" s="89">
        <f>+Balance!H16</f>
        <v>0</v>
      </c>
      <c r="H15" s="80" t="e">
        <f t="shared" si="1"/>
        <v>#DIV/0!</v>
      </c>
    </row>
    <row r="16" spans="1:8" ht="15.75" thickBot="1">
      <c r="A16" s="87" t="s">
        <v>407</v>
      </c>
      <c r="B16" s="88" t="s">
        <v>148</v>
      </c>
      <c r="C16" s="89">
        <f>+Balance!D24</f>
        <v>0</v>
      </c>
      <c r="D16" s="80" t="e">
        <f t="shared" si="0"/>
        <v>#DIV/0!</v>
      </c>
      <c r="E16" s="90" t="s">
        <v>408</v>
      </c>
      <c r="F16" s="88" t="s">
        <v>136</v>
      </c>
      <c r="G16" s="89">
        <f>+Balance!H17</f>
        <v>0</v>
      </c>
      <c r="H16" s="80" t="e">
        <f t="shared" si="1"/>
        <v>#DIV/0!</v>
      </c>
    </row>
    <row r="17" spans="1:8" ht="26.25" thickBot="1">
      <c r="A17" s="87" t="s">
        <v>409</v>
      </c>
      <c r="B17" s="88" t="s">
        <v>150</v>
      </c>
      <c r="C17" s="89">
        <f>+Balance!D26</f>
        <v>0</v>
      </c>
      <c r="D17" s="80" t="e">
        <f t="shared" si="0"/>
        <v>#DIV/0!</v>
      </c>
      <c r="E17" s="90" t="s">
        <v>410</v>
      </c>
      <c r="F17" s="88" t="s">
        <v>138</v>
      </c>
      <c r="G17" s="89">
        <f>+Balance!H18</f>
        <v>0</v>
      </c>
      <c r="H17" s="80" t="e">
        <f t="shared" si="1"/>
        <v>#DIV/0!</v>
      </c>
    </row>
    <row r="18" spans="1:8" ht="15" customHeight="1" thickBot="1">
      <c r="A18" s="78">
        <v>1.2</v>
      </c>
      <c r="B18" s="83" t="s">
        <v>411</v>
      </c>
      <c r="C18" s="86">
        <f>ROUND(SUM(C19,-C28,C29,-C30,C31),2)</f>
        <v>0</v>
      </c>
      <c r="D18" s="80" t="e">
        <f t="shared" si="0"/>
        <v>#DIV/0!</v>
      </c>
      <c r="E18" s="90" t="s">
        <v>412</v>
      </c>
      <c r="F18" s="88" t="s">
        <v>140</v>
      </c>
      <c r="G18" s="89">
        <f>+Balance!H19</f>
        <v>0</v>
      </c>
      <c r="H18" s="80" t="e">
        <f t="shared" si="1"/>
        <v>#DIV/0!</v>
      </c>
    </row>
    <row r="19" spans="1:8" ht="15.75" thickBot="1">
      <c r="A19" s="87" t="s">
        <v>413</v>
      </c>
      <c r="B19" s="92" t="s">
        <v>414</v>
      </c>
      <c r="C19" s="94">
        <f>ROUND(SUM(C22,C23,C24),2)</f>
        <v>0</v>
      </c>
      <c r="D19" s="80" t="e">
        <f t="shared" si="0"/>
        <v>#DIV/0!</v>
      </c>
      <c r="E19" s="90" t="s">
        <v>415</v>
      </c>
      <c r="F19" s="88" t="s">
        <v>142</v>
      </c>
      <c r="G19" s="89">
        <f>+Balance!H20</f>
        <v>0</v>
      </c>
      <c r="H19" s="80" t="e">
        <f t="shared" si="1"/>
        <v>#DIV/0!</v>
      </c>
    </row>
    <row r="20" spans="1:8" ht="15.75" thickBot="1">
      <c r="A20" s="87" t="s">
        <v>416</v>
      </c>
      <c r="B20" s="88" t="s">
        <v>163</v>
      </c>
      <c r="C20" s="89">
        <f>ROUND(SUM(Balance!D30,Balance!D33,Balance!D37,Balance!D40,Balance!D43),2)</f>
        <v>0</v>
      </c>
      <c r="D20" s="80" t="e">
        <f t="shared" si="0"/>
        <v>#DIV/0!</v>
      </c>
      <c r="E20" s="90" t="s">
        <v>417</v>
      </c>
      <c r="F20" s="88" t="s">
        <v>144</v>
      </c>
      <c r="G20" s="89">
        <f>+Balance!H21</f>
        <v>0</v>
      </c>
      <c r="H20" s="80" t="e">
        <f t="shared" si="1"/>
        <v>#DIV/0!</v>
      </c>
    </row>
    <row r="21" spans="1:8" ht="15.75" thickBot="1">
      <c r="A21" s="87" t="s">
        <v>418</v>
      </c>
      <c r="B21" s="88" t="s">
        <v>159</v>
      </c>
      <c r="C21" s="89">
        <f>ROUND(SUM(Balance!D31,Balance!D34,Balance!D38,Balance!D41,Balance!D44),2)</f>
        <v>0</v>
      </c>
      <c r="D21" s="80" t="e">
        <f t="shared" si="0"/>
        <v>#DIV/0!</v>
      </c>
      <c r="E21" s="90" t="s">
        <v>419</v>
      </c>
      <c r="F21" s="88" t="s">
        <v>146</v>
      </c>
      <c r="G21" s="89">
        <f>+Balance!H22</f>
        <v>0</v>
      </c>
      <c r="H21" s="80" t="e">
        <f t="shared" si="1"/>
        <v>#DIV/0!</v>
      </c>
    </row>
    <row r="22" spans="1:8" ht="15.75" thickBot="1">
      <c r="A22" s="87" t="s">
        <v>420</v>
      </c>
      <c r="B22" s="93" t="s">
        <v>155</v>
      </c>
      <c r="C22" s="89">
        <f>+Balance!D29</f>
        <v>0</v>
      </c>
      <c r="D22" s="80" t="e">
        <f t="shared" si="0"/>
        <v>#DIV/0!</v>
      </c>
      <c r="E22" s="90" t="s">
        <v>421</v>
      </c>
      <c r="F22" s="88" t="s">
        <v>147</v>
      </c>
      <c r="G22" s="89">
        <f>+Balance!H23</f>
        <v>0</v>
      </c>
      <c r="H22" s="80" t="e">
        <f t="shared" si="1"/>
        <v>#DIV/0!</v>
      </c>
    </row>
    <row r="23" spans="1:8" ht="26.25" thickBot="1">
      <c r="A23" s="87" t="s">
        <v>422</v>
      </c>
      <c r="B23" s="93" t="s">
        <v>161</v>
      </c>
      <c r="C23" s="89">
        <f>+Balance!D32</f>
        <v>0</v>
      </c>
      <c r="D23" s="80" t="e">
        <f t="shared" si="0"/>
        <v>#DIV/0!</v>
      </c>
      <c r="E23" s="85">
        <v>2.2000000000000002</v>
      </c>
      <c r="F23" s="83" t="s">
        <v>149</v>
      </c>
      <c r="G23" s="86">
        <f>+SUM(G24,G31,G34,G37)</f>
        <v>0</v>
      </c>
      <c r="H23" s="80" t="e">
        <f t="shared" si="1"/>
        <v>#DIV/0!</v>
      </c>
    </row>
    <row r="24" spans="1:8" ht="15.75" thickBot="1">
      <c r="A24" s="87" t="s">
        <v>423</v>
      </c>
      <c r="B24" s="283" t="s">
        <v>166</v>
      </c>
      <c r="C24" s="94">
        <f>ROUND(SUM(C25,C26,C27),2)</f>
        <v>0</v>
      </c>
      <c r="D24" s="80" t="e">
        <f t="shared" si="0"/>
        <v>#DIV/0!</v>
      </c>
      <c r="E24" s="963" t="s">
        <v>424</v>
      </c>
      <c r="F24" s="964" t="s">
        <v>425</v>
      </c>
      <c r="G24" s="965">
        <f>+G25+G28</f>
        <v>0</v>
      </c>
      <c r="H24" s="80" t="e">
        <f>+G24/$C$78</f>
        <v>#DIV/0!</v>
      </c>
    </row>
    <row r="25" spans="1:8" ht="15.75" thickBot="1">
      <c r="A25" s="87" t="s">
        <v>426</v>
      </c>
      <c r="B25" s="1075" t="s">
        <v>168</v>
      </c>
      <c r="C25" s="95">
        <f>+Balance!D36</f>
        <v>0</v>
      </c>
      <c r="D25" s="80" t="e">
        <f t="shared" si="0"/>
        <v>#DIV/0!</v>
      </c>
      <c r="E25" s="90" t="s">
        <v>427</v>
      </c>
      <c r="F25" s="1083" t="s">
        <v>152</v>
      </c>
      <c r="G25" s="91">
        <f>+SUM(G26,G27)</f>
        <v>0</v>
      </c>
      <c r="H25" s="80" t="e">
        <f>+G25/$C$78</f>
        <v>#DIV/0!</v>
      </c>
    </row>
    <row r="26" spans="1:8" ht="26.25" thickBot="1">
      <c r="A26" s="87" t="s">
        <v>428</v>
      </c>
      <c r="B26" s="1075" t="s">
        <v>172</v>
      </c>
      <c r="C26" s="95">
        <f>+Balance!D39</f>
        <v>0</v>
      </c>
      <c r="D26" s="80" t="e">
        <f t="shared" si="0"/>
        <v>#DIV/0!</v>
      </c>
      <c r="E26" s="90" t="s">
        <v>429</v>
      </c>
      <c r="F26" s="88" t="s">
        <v>154</v>
      </c>
      <c r="G26" s="89">
        <f>+Balance!H28</f>
        <v>0</v>
      </c>
      <c r="H26" s="80" t="e">
        <f>+G26/$C$78</f>
        <v>#DIV/0!</v>
      </c>
    </row>
    <row r="27" spans="1:8" ht="26.25" thickBot="1">
      <c r="A27" s="87" t="s">
        <v>430</v>
      </c>
      <c r="B27" s="1075" t="s">
        <v>175</v>
      </c>
      <c r="C27" s="95">
        <f>+Balance!D42</f>
        <v>0</v>
      </c>
      <c r="D27" s="80" t="e">
        <f t="shared" si="0"/>
        <v>#DIV/0!</v>
      </c>
      <c r="E27" s="90" t="s">
        <v>431</v>
      </c>
      <c r="F27" s="88" t="s">
        <v>156</v>
      </c>
      <c r="G27" s="89">
        <f>+Balance!H29</f>
        <v>0</v>
      </c>
      <c r="H27" s="80" t="e">
        <f t="shared" si="1"/>
        <v>#DIV/0!</v>
      </c>
    </row>
    <row r="28" spans="1:8" ht="15.75" thickBot="1">
      <c r="A28" s="87" t="s">
        <v>432</v>
      </c>
      <c r="B28" s="918" t="s">
        <v>178</v>
      </c>
      <c r="C28" s="89">
        <f>+Balance!D45</f>
        <v>0</v>
      </c>
      <c r="D28" s="80" t="e">
        <f t="shared" si="0"/>
        <v>#DIV/0!</v>
      </c>
      <c r="E28" s="90" t="s">
        <v>433</v>
      </c>
      <c r="F28" s="1083" t="s">
        <v>434</v>
      </c>
      <c r="G28" s="91">
        <f>+SUM(G29,G30)</f>
        <v>0</v>
      </c>
      <c r="H28" s="80" t="e">
        <f t="shared" si="1"/>
        <v>#DIV/0!</v>
      </c>
    </row>
    <row r="29" spans="1:8" ht="26.25" thickBot="1">
      <c r="A29" s="87" t="s">
        <v>435</v>
      </c>
      <c r="B29" s="93" t="s">
        <v>181</v>
      </c>
      <c r="C29" s="89">
        <f>+Balance!D47</f>
        <v>0</v>
      </c>
      <c r="D29" s="80" t="e">
        <f t="shared" si="0"/>
        <v>#DIV/0!</v>
      </c>
      <c r="E29" s="90" t="s">
        <v>436</v>
      </c>
      <c r="F29" s="88" t="s">
        <v>160</v>
      </c>
      <c r="G29" s="89">
        <f>+Balance!H31</f>
        <v>0</v>
      </c>
      <c r="H29" s="80" t="e">
        <f t="shared" si="1"/>
        <v>#DIV/0!</v>
      </c>
    </row>
    <row r="30" spans="1:8" ht="26.25" thickBot="1">
      <c r="A30" s="87" t="s">
        <v>437</v>
      </c>
      <c r="B30" s="97" t="s">
        <v>438</v>
      </c>
      <c r="C30" s="95">
        <f>+Balance!D49</f>
        <v>0</v>
      </c>
      <c r="D30" s="80" t="e">
        <f t="shared" si="0"/>
        <v>#DIV/0!</v>
      </c>
      <c r="E30" s="90" t="s">
        <v>439</v>
      </c>
      <c r="F30" s="88" t="s">
        <v>162</v>
      </c>
      <c r="G30" s="89">
        <f>+Balance!H32</f>
        <v>0</v>
      </c>
      <c r="H30" s="80" t="e">
        <f t="shared" si="1"/>
        <v>#DIV/0!</v>
      </c>
    </row>
    <row r="31" spans="1:8" ht="26.25" thickBot="1">
      <c r="A31" s="87" t="s">
        <v>440</v>
      </c>
      <c r="B31" s="93" t="s">
        <v>186</v>
      </c>
      <c r="C31" s="89">
        <f>+Balance!D51</f>
        <v>0</v>
      </c>
      <c r="D31" s="80" t="e">
        <f t="shared" si="0"/>
        <v>#DIV/0!</v>
      </c>
      <c r="E31" s="967" t="s">
        <v>441</v>
      </c>
      <c r="F31" s="283" t="s">
        <v>442</v>
      </c>
      <c r="G31" s="94">
        <f>+SUM(G32,G33)</f>
        <v>0</v>
      </c>
      <c r="H31" s="80" t="e">
        <f t="shared" si="1"/>
        <v>#DIV/0!</v>
      </c>
    </row>
    <row r="32" spans="1:8" ht="15" customHeight="1" thickBot="1">
      <c r="A32" s="78">
        <v>1.3</v>
      </c>
      <c r="B32" s="1076" t="s">
        <v>188</v>
      </c>
      <c r="C32" s="86">
        <f>ROUND(SUM(C33,C38,C39,C40,C41,C42),2)</f>
        <v>0</v>
      </c>
      <c r="D32" s="80" t="e">
        <f t="shared" si="0"/>
        <v>#DIV/0!</v>
      </c>
      <c r="E32" s="90" t="s">
        <v>443</v>
      </c>
      <c r="F32" s="88" t="s">
        <v>165</v>
      </c>
      <c r="G32" s="89">
        <f>+Balance!H34</f>
        <v>0</v>
      </c>
      <c r="H32" s="80" t="e">
        <f t="shared" si="1"/>
        <v>#DIV/0!</v>
      </c>
    </row>
    <row r="33" spans="1:8" ht="24.75" customHeight="1" thickBot="1">
      <c r="A33" s="87" t="s">
        <v>444</v>
      </c>
      <c r="B33" s="676" t="s">
        <v>445</v>
      </c>
      <c r="C33" s="677">
        <f>ROUND(SUM(C34,-C37),2)</f>
        <v>0</v>
      </c>
      <c r="D33" s="80" t="e">
        <f t="shared" si="0"/>
        <v>#DIV/0!</v>
      </c>
      <c r="E33" s="90" t="s">
        <v>446</v>
      </c>
      <c r="F33" s="88" t="s">
        <v>167</v>
      </c>
      <c r="G33" s="89">
        <f>+Balance!H35</f>
        <v>0</v>
      </c>
      <c r="H33" s="80" t="e">
        <f t="shared" si="1"/>
        <v>#DIV/0!</v>
      </c>
    </row>
    <row r="34" spans="1:8" ht="22.5" customHeight="1" thickBot="1">
      <c r="A34" s="87" t="s">
        <v>447</v>
      </c>
      <c r="B34" s="88" t="s">
        <v>190</v>
      </c>
      <c r="C34" s="89">
        <f>+Balance!D54</f>
        <v>0</v>
      </c>
      <c r="D34" s="80" t="e">
        <f t="shared" si="0"/>
        <v>#DIV/0!</v>
      </c>
      <c r="E34" s="967" t="s">
        <v>448</v>
      </c>
      <c r="F34" s="283" t="s">
        <v>169</v>
      </c>
      <c r="G34" s="94">
        <f>+SUM(G35,G36)</f>
        <v>0</v>
      </c>
      <c r="H34" s="80" t="e">
        <f t="shared" si="1"/>
        <v>#DIV/0!</v>
      </c>
    </row>
    <row r="35" spans="1:8" ht="15.75" thickBot="1">
      <c r="A35" s="87" t="s">
        <v>449</v>
      </c>
      <c r="B35" s="88" t="s">
        <v>192</v>
      </c>
      <c r="C35" s="89">
        <f>+Balance!D55</f>
        <v>0</v>
      </c>
      <c r="D35" s="80" t="e">
        <f t="shared" si="0"/>
        <v>#DIV/0!</v>
      </c>
      <c r="E35" s="90" t="s">
        <v>450</v>
      </c>
      <c r="F35" s="88" t="s">
        <v>165</v>
      </c>
      <c r="G35" s="89">
        <f>+Balance!H37</f>
        <v>0</v>
      </c>
      <c r="H35" s="80" t="e">
        <f t="shared" si="1"/>
        <v>#DIV/0!</v>
      </c>
    </row>
    <row r="36" spans="1:8" ht="15.75" thickBot="1">
      <c r="A36" s="87" t="s">
        <v>451</v>
      </c>
      <c r="B36" s="88" t="s">
        <v>194</v>
      </c>
      <c r="C36" s="89">
        <f>+Balance!D56</f>
        <v>0</v>
      </c>
      <c r="D36" s="80" t="e">
        <f t="shared" si="0"/>
        <v>#DIV/0!</v>
      </c>
      <c r="E36" s="90" t="s">
        <v>452</v>
      </c>
      <c r="F36" s="88" t="s">
        <v>167</v>
      </c>
      <c r="G36" s="89">
        <f>+Balance!H38</f>
        <v>0</v>
      </c>
      <c r="H36" s="80" t="e">
        <f t="shared" si="1"/>
        <v>#DIV/0!</v>
      </c>
    </row>
    <row r="37" spans="1:8" ht="15.75" thickBot="1">
      <c r="A37" s="87" t="s">
        <v>453</v>
      </c>
      <c r="B37" s="1077" t="s">
        <v>454</v>
      </c>
      <c r="C37" s="95">
        <f>+Balance!D57</f>
        <v>0</v>
      </c>
      <c r="D37" s="80" t="e">
        <f t="shared" si="0"/>
        <v>#DIV/0!</v>
      </c>
      <c r="E37" s="967" t="s">
        <v>455</v>
      </c>
      <c r="F37" s="283" t="s">
        <v>173</v>
      </c>
      <c r="G37" s="94">
        <f>+Balance!H39</f>
        <v>0</v>
      </c>
      <c r="H37" s="80" t="e">
        <f t="shared" si="1"/>
        <v>#DIV/0!</v>
      </c>
    </row>
    <row r="38" spans="1:8" ht="15.75" thickBot="1">
      <c r="A38" s="87" t="s">
        <v>456</v>
      </c>
      <c r="B38" s="93" t="s">
        <v>199</v>
      </c>
      <c r="C38" s="89">
        <f>+Balance!D59</f>
        <v>0</v>
      </c>
      <c r="D38" s="80" t="e">
        <f t="shared" si="0"/>
        <v>#DIV/0!</v>
      </c>
      <c r="E38" s="85">
        <v>2.2999999999999998</v>
      </c>
      <c r="F38" s="83" t="s">
        <v>174</v>
      </c>
      <c r="G38" s="86">
        <f>+SUM(G39:G43)</f>
        <v>0</v>
      </c>
      <c r="H38" s="80" t="e">
        <f t="shared" si="1"/>
        <v>#DIV/0!</v>
      </c>
    </row>
    <row r="39" spans="1:8" ht="15.75" thickBot="1">
      <c r="A39" s="87" t="s">
        <v>457</v>
      </c>
      <c r="B39" s="93" t="s">
        <v>201</v>
      </c>
      <c r="C39" s="89">
        <f>+Balance!D61</f>
        <v>0</v>
      </c>
      <c r="D39" s="80" t="e">
        <f t="shared" si="0"/>
        <v>#DIV/0!</v>
      </c>
      <c r="E39" s="90" t="s">
        <v>458</v>
      </c>
      <c r="F39" s="93" t="s">
        <v>176</v>
      </c>
      <c r="G39" s="89">
        <f>+Balance!H42</f>
        <v>0</v>
      </c>
      <c r="H39" s="80" t="e">
        <f t="shared" si="1"/>
        <v>#DIV/0!</v>
      </c>
    </row>
    <row r="40" spans="1:8" ht="15.75" thickBot="1">
      <c r="A40" s="87" t="s">
        <v>459</v>
      </c>
      <c r="B40" s="93" t="s">
        <v>182</v>
      </c>
      <c r="C40" s="89">
        <f>+Balance!D63</f>
        <v>0</v>
      </c>
      <c r="D40" s="80" t="e">
        <f t="shared" si="0"/>
        <v>#DIV/0!</v>
      </c>
      <c r="E40" s="90" t="s">
        <v>460</v>
      </c>
      <c r="F40" s="93" t="s">
        <v>177</v>
      </c>
      <c r="G40" s="89">
        <f>+Balance!H44</f>
        <v>0</v>
      </c>
      <c r="H40" s="80" t="e">
        <f t="shared" si="1"/>
        <v>#DIV/0!</v>
      </c>
    </row>
    <row r="41" spans="1:8" ht="15.75" thickBot="1">
      <c r="A41" s="87" t="s">
        <v>461</v>
      </c>
      <c r="B41" s="93" t="s">
        <v>462</v>
      </c>
      <c r="C41" s="89">
        <f>+Balance!D65</f>
        <v>0</v>
      </c>
      <c r="D41" s="80" t="e">
        <f t="shared" si="0"/>
        <v>#DIV/0!</v>
      </c>
      <c r="E41" s="90" t="s">
        <v>463</v>
      </c>
      <c r="F41" s="93" t="s">
        <v>182</v>
      </c>
      <c r="G41" s="89">
        <f>+Balance!H47</f>
        <v>0</v>
      </c>
      <c r="H41" s="80" t="e">
        <f t="shared" si="1"/>
        <v>#DIV/0!</v>
      </c>
    </row>
    <row r="42" spans="1:8" ht="15.75" thickBot="1">
      <c r="A42" s="87" t="s">
        <v>464</v>
      </c>
      <c r="B42" s="93" t="s">
        <v>211</v>
      </c>
      <c r="C42" s="89">
        <f>+Balance!D69</f>
        <v>0</v>
      </c>
      <c r="D42" s="80" t="e">
        <f t="shared" ref="D42:D65" si="2">+C42/$C$78</f>
        <v>#DIV/0!</v>
      </c>
      <c r="E42" s="90" t="s">
        <v>465</v>
      </c>
      <c r="F42" s="93" t="s">
        <v>185</v>
      </c>
      <c r="G42" s="89">
        <f>+Balance!H49</f>
        <v>0</v>
      </c>
      <c r="H42" s="80" t="e">
        <f t="shared" si="1"/>
        <v>#DIV/0!</v>
      </c>
    </row>
    <row r="43" spans="1:8" ht="15.75" thickBot="1">
      <c r="A43" s="78">
        <v>1.4</v>
      </c>
      <c r="B43" s="1076" t="s">
        <v>213</v>
      </c>
      <c r="C43" s="86">
        <f>ROUND(SUM(C44,C45,C46,C47,C48,C53,C54,C58,C62),2)</f>
        <v>0</v>
      </c>
      <c r="D43" s="80" t="e">
        <f t="shared" si="2"/>
        <v>#DIV/0!</v>
      </c>
      <c r="E43" s="90" t="s">
        <v>466</v>
      </c>
      <c r="F43" s="93" t="s">
        <v>187</v>
      </c>
      <c r="G43" s="89">
        <f>+Balance!H51</f>
        <v>0</v>
      </c>
      <c r="H43" s="80" t="e">
        <f t="shared" si="1"/>
        <v>#DIV/0!</v>
      </c>
    </row>
    <row r="44" spans="1:8" ht="15.75" thickBot="1">
      <c r="A44" s="87" t="s">
        <v>467</v>
      </c>
      <c r="B44" s="93" t="s">
        <v>215</v>
      </c>
      <c r="C44" s="98">
        <f>+Balance!D72</f>
        <v>0</v>
      </c>
      <c r="D44" s="80" t="e">
        <f t="shared" si="2"/>
        <v>#DIV/0!</v>
      </c>
      <c r="E44" s="85">
        <v>2.4</v>
      </c>
      <c r="F44" s="83" t="s">
        <v>189</v>
      </c>
      <c r="G44" s="86">
        <f>+SUM(G45:G49,G50,G55)</f>
        <v>0</v>
      </c>
      <c r="H44" s="80" t="e">
        <f t="shared" si="1"/>
        <v>#DIV/0!</v>
      </c>
    </row>
    <row r="45" spans="1:8" ht="26.25" thickBot="1">
      <c r="A45" s="87" t="s">
        <v>468</v>
      </c>
      <c r="B45" s="93" t="s">
        <v>221</v>
      </c>
      <c r="C45" s="89">
        <f>+Balance!D77</f>
        <v>0</v>
      </c>
      <c r="D45" s="80" t="e">
        <f t="shared" si="2"/>
        <v>#DIV/0!</v>
      </c>
      <c r="E45" s="90" t="s">
        <v>469</v>
      </c>
      <c r="F45" s="88" t="s">
        <v>191</v>
      </c>
      <c r="G45" s="89">
        <f>+Balance!H54</f>
        <v>0</v>
      </c>
      <c r="H45" s="80" t="e">
        <f t="shared" si="1"/>
        <v>#DIV/0!</v>
      </c>
    </row>
    <row r="46" spans="1:8" ht="15.75" thickBot="1">
      <c r="A46" s="87" t="s">
        <v>470</v>
      </c>
      <c r="B46" s="93" t="s">
        <v>224</v>
      </c>
      <c r="C46" s="89">
        <f>+Balance!D79</f>
        <v>0</v>
      </c>
      <c r="D46" s="80" t="e">
        <f t="shared" si="2"/>
        <v>#DIV/0!</v>
      </c>
      <c r="E46" s="90" t="s">
        <v>471</v>
      </c>
      <c r="F46" s="99" t="s">
        <v>200</v>
      </c>
      <c r="G46" s="89">
        <f>+Balance!H59</f>
        <v>0</v>
      </c>
      <c r="H46" s="80" t="e">
        <f t="shared" si="1"/>
        <v>#DIV/0!</v>
      </c>
    </row>
    <row r="47" spans="1:8" ht="15.75" thickBot="1">
      <c r="A47" s="87" t="s">
        <v>472</v>
      </c>
      <c r="B47" s="93" t="s">
        <v>228</v>
      </c>
      <c r="C47" s="89">
        <f>+Balance!D82</f>
        <v>0</v>
      </c>
      <c r="D47" s="80" t="e">
        <f t="shared" si="2"/>
        <v>#DIV/0!</v>
      </c>
      <c r="E47" s="90" t="s">
        <v>473</v>
      </c>
      <c r="F47" s="88" t="s">
        <v>202</v>
      </c>
      <c r="G47" s="89">
        <f>+Balance!H61</f>
        <v>0</v>
      </c>
      <c r="H47" s="80" t="e">
        <f t="shared" si="1"/>
        <v>#DIV/0!</v>
      </c>
    </row>
    <row r="48" spans="1:8" ht="15.75" thickBot="1">
      <c r="A48" s="87" t="s">
        <v>474</v>
      </c>
      <c r="B48" s="283" t="s">
        <v>475</v>
      </c>
      <c r="C48" s="94">
        <f>+Balance!D85</f>
        <v>0</v>
      </c>
      <c r="D48" s="80" t="e">
        <f t="shared" si="2"/>
        <v>#DIV/0!</v>
      </c>
      <c r="E48" s="90" t="s">
        <v>476</v>
      </c>
      <c r="F48" s="88" t="s">
        <v>205</v>
      </c>
      <c r="G48" s="89">
        <f>+Balance!H64</f>
        <v>0</v>
      </c>
      <c r="H48" s="80" t="e">
        <f t="shared" si="1"/>
        <v>#DIV/0!</v>
      </c>
    </row>
    <row r="49" spans="1:8" ht="15.75" thickBot="1">
      <c r="A49" s="87" t="s">
        <v>477</v>
      </c>
      <c r="B49" s="88" t="s">
        <v>235</v>
      </c>
      <c r="C49" s="89">
        <f>+Balance!D86</f>
        <v>0</v>
      </c>
      <c r="D49" s="80" t="e">
        <f t="shared" si="2"/>
        <v>#DIV/0!</v>
      </c>
      <c r="E49" s="90" t="s">
        <v>478</v>
      </c>
      <c r="F49" s="88" t="s">
        <v>207</v>
      </c>
      <c r="G49" s="100">
        <f>+Balance!H66</f>
        <v>0</v>
      </c>
      <c r="H49" s="80" t="e">
        <f t="shared" si="1"/>
        <v>#DIV/0!</v>
      </c>
    </row>
    <row r="50" spans="1:8" ht="15.75" thickBot="1">
      <c r="A50" s="87" t="s">
        <v>479</v>
      </c>
      <c r="B50" s="99" t="s">
        <v>237</v>
      </c>
      <c r="C50" s="89">
        <f>+Balance!D87</f>
        <v>0</v>
      </c>
      <c r="D50" s="80" t="e">
        <f t="shared" si="2"/>
        <v>#DIV/0!</v>
      </c>
      <c r="E50" s="101">
        <v>2.5</v>
      </c>
      <c r="F50" s="43" t="s">
        <v>210</v>
      </c>
      <c r="G50" s="110">
        <f>+SUM(G51:G54)</f>
        <v>0</v>
      </c>
      <c r="H50" s="80" t="e">
        <f t="shared" si="1"/>
        <v>#DIV/0!</v>
      </c>
    </row>
    <row r="51" spans="1:8" ht="15.75" thickBot="1">
      <c r="A51" s="87" t="s">
        <v>480</v>
      </c>
      <c r="B51" s="1078" t="s">
        <v>208</v>
      </c>
      <c r="C51" s="89">
        <f>+Balance!D88</f>
        <v>0</v>
      </c>
      <c r="D51" s="80" t="e">
        <f t="shared" si="2"/>
        <v>#DIV/0!</v>
      </c>
      <c r="E51" s="96" t="s">
        <v>481</v>
      </c>
      <c r="F51" s="29" t="s">
        <v>212</v>
      </c>
      <c r="G51" s="100">
        <f>+Balance!H69</f>
        <v>0</v>
      </c>
      <c r="H51" s="80" t="e">
        <f t="shared" si="1"/>
        <v>#DIV/0!</v>
      </c>
    </row>
    <row r="52" spans="1:8" ht="26.25" thickBot="1">
      <c r="A52" s="87" t="s">
        <v>482</v>
      </c>
      <c r="B52" s="1078" t="s">
        <v>209</v>
      </c>
      <c r="C52" s="89">
        <f>+Balance!D89</f>
        <v>0</v>
      </c>
      <c r="D52" s="80" t="e">
        <f t="shared" si="2"/>
        <v>#DIV/0!</v>
      </c>
      <c r="E52" s="96" t="s">
        <v>483</v>
      </c>
      <c r="F52" s="29" t="s">
        <v>214</v>
      </c>
      <c r="G52" s="89">
        <f>+Balance!H71</f>
        <v>0</v>
      </c>
      <c r="H52" s="80" t="e">
        <f t="shared" si="1"/>
        <v>#DIV/0!</v>
      </c>
    </row>
    <row r="53" spans="1:8" ht="15.75" thickBot="1">
      <c r="A53" s="87" t="s">
        <v>484</v>
      </c>
      <c r="B53" s="102" t="s">
        <v>241</v>
      </c>
      <c r="C53" s="89">
        <f>+Balance!D90</f>
        <v>0</v>
      </c>
      <c r="D53" s="80" t="e">
        <f t="shared" si="2"/>
        <v>#DIV/0!</v>
      </c>
      <c r="E53" s="96" t="s">
        <v>485</v>
      </c>
      <c r="F53" s="29" t="s">
        <v>217</v>
      </c>
      <c r="G53" s="89">
        <f>+Balance!H73</f>
        <v>0</v>
      </c>
      <c r="H53" s="80" t="e">
        <f t="shared" si="1"/>
        <v>#DIV/0!</v>
      </c>
    </row>
    <row r="54" spans="1:8" ht="26.25" thickBot="1">
      <c r="A54" s="87" t="s">
        <v>486</v>
      </c>
      <c r="B54" s="92" t="s">
        <v>487</v>
      </c>
      <c r="C54" s="94">
        <f>+Balance!D96</f>
        <v>0</v>
      </c>
      <c r="D54" s="80" t="e">
        <f t="shared" si="2"/>
        <v>#DIV/0!</v>
      </c>
      <c r="E54" s="90" t="s">
        <v>488</v>
      </c>
      <c r="F54" s="93" t="s">
        <v>211</v>
      </c>
      <c r="G54" s="89">
        <f>+Balance!H75</f>
        <v>0</v>
      </c>
      <c r="H54" s="80" t="e">
        <f t="shared" si="1"/>
        <v>#DIV/0!</v>
      </c>
    </row>
    <row r="55" spans="1:8" ht="26.25" thickBot="1">
      <c r="A55" s="87" t="s">
        <v>489</v>
      </c>
      <c r="B55" s="88" t="s">
        <v>251</v>
      </c>
      <c r="C55" s="89">
        <f>+Balance!D97</f>
        <v>0</v>
      </c>
      <c r="D55" s="80" t="e">
        <f t="shared" si="2"/>
        <v>#DIV/0!</v>
      </c>
      <c r="E55" s="85">
        <v>2.6</v>
      </c>
      <c r="F55" s="83" t="s">
        <v>222</v>
      </c>
      <c r="G55" s="103">
        <f>+SUM(G56:G58)</f>
        <v>0</v>
      </c>
      <c r="H55" s="80" t="e">
        <f t="shared" si="1"/>
        <v>#DIV/0!</v>
      </c>
    </row>
    <row r="56" spans="1:8" ht="26.25" thickBot="1">
      <c r="A56" s="87" t="s">
        <v>490</v>
      </c>
      <c r="B56" s="1078" t="s">
        <v>254</v>
      </c>
      <c r="C56" s="89">
        <f>+Balance!D98</f>
        <v>0</v>
      </c>
      <c r="D56" s="80" t="e">
        <f t="shared" si="2"/>
        <v>#DIV/0!</v>
      </c>
      <c r="E56" s="90" t="s">
        <v>491</v>
      </c>
      <c r="F56" s="88" t="s">
        <v>223</v>
      </c>
      <c r="G56" s="98">
        <f>+Balance!H78</f>
        <v>0</v>
      </c>
      <c r="H56" s="80" t="e">
        <f t="shared" si="1"/>
        <v>#DIV/0!</v>
      </c>
    </row>
    <row r="57" spans="1:8" ht="15.75" thickBot="1">
      <c r="A57" s="87" t="s">
        <v>492</v>
      </c>
      <c r="B57" s="1078" t="s">
        <v>256</v>
      </c>
      <c r="C57" s="89">
        <f>+Balance!D99</f>
        <v>0</v>
      </c>
      <c r="D57" s="80" t="e">
        <f t="shared" si="2"/>
        <v>#DIV/0!</v>
      </c>
      <c r="E57" s="90" t="s">
        <v>493</v>
      </c>
      <c r="F57" s="88" t="s">
        <v>226</v>
      </c>
      <c r="G57" s="91">
        <f>+Balance!H80</f>
        <v>0</v>
      </c>
      <c r="H57" s="80" t="e">
        <f t="shared" si="1"/>
        <v>#DIV/0!</v>
      </c>
    </row>
    <row r="58" spans="1:8" ht="15.75" thickBot="1">
      <c r="A58" s="104" t="s">
        <v>494</v>
      </c>
      <c r="B58" s="674" t="s">
        <v>495</v>
      </c>
      <c r="C58" s="94">
        <f>ROUND(SUM(C59,-C60,-C61),2)</f>
        <v>0</v>
      </c>
      <c r="D58" s="80" t="e">
        <f t="shared" si="2"/>
        <v>#DIV/0!</v>
      </c>
      <c r="E58" s="90" t="s">
        <v>496</v>
      </c>
      <c r="F58" s="88" t="s">
        <v>229</v>
      </c>
      <c r="G58" s="89">
        <f>+Balance!H82</f>
        <v>0</v>
      </c>
      <c r="H58" s="80" t="e">
        <f t="shared" si="1"/>
        <v>#DIV/0!</v>
      </c>
    </row>
    <row r="59" spans="1:8" ht="15.75" thickBot="1">
      <c r="A59" s="87" t="s">
        <v>497</v>
      </c>
      <c r="B59" s="88" t="s">
        <v>498</v>
      </c>
      <c r="C59" s="89">
        <f>+ROUND(SUM(Balance!D102,Balance!D107,Balance!D111,Balance!D115,Balance!D119,Balance!D123,Balance!D127),2)</f>
        <v>0</v>
      </c>
      <c r="D59" s="80" t="e">
        <f t="shared" si="2"/>
        <v>#DIV/0!</v>
      </c>
      <c r="E59" s="85">
        <v>2.7</v>
      </c>
      <c r="F59" s="83" t="s">
        <v>232</v>
      </c>
      <c r="G59" s="86">
        <f>+SUM(G60,G63,G69)</f>
        <v>0</v>
      </c>
      <c r="H59" s="80" t="e">
        <f t="shared" si="1"/>
        <v>#DIV/0!</v>
      </c>
    </row>
    <row r="60" spans="1:8" ht="15.75" thickBot="1">
      <c r="A60" s="87" t="s">
        <v>499</v>
      </c>
      <c r="B60" s="1078" t="s">
        <v>254</v>
      </c>
      <c r="C60" s="89">
        <f>+ROUND(SUM(Balance!D103,Balance!D108,Balance!D112,Balance!D116,Balance!D120,Balance!D124,Balance!D128),2)</f>
        <v>0</v>
      </c>
      <c r="D60" s="80" t="e">
        <f t="shared" si="2"/>
        <v>#DIV/0!</v>
      </c>
      <c r="E60" s="90" t="s">
        <v>500</v>
      </c>
      <c r="F60" s="283" t="s">
        <v>234</v>
      </c>
      <c r="G60" s="94">
        <f>+SUM(G61:G62)</f>
        <v>0</v>
      </c>
      <c r="H60" s="80" t="e">
        <f t="shared" si="1"/>
        <v>#DIV/0!</v>
      </c>
    </row>
    <row r="61" spans="1:8" ht="15.75" thickBot="1">
      <c r="A61" s="87" t="s">
        <v>501</v>
      </c>
      <c r="B61" s="1078" t="s">
        <v>256</v>
      </c>
      <c r="C61" s="89">
        <f>+ROUND(SUM(Balance!D104,Balance!D109,Balance!D113,Balance!D117,Balance!D121,Balance!D125,Balance!D129),2)</f>
        <v>0</v>
      </c>
      <c r="D61" s="80" t="e">
        <f t="shared" si="2"/>
        <v>#DIV/0!</v>
      </c>
      <c r="E61" s="90" t="s">
        <v>502</v>
      </c>
      <c r="F61" s="88" t="s">
        <v>503</v>
      </c>
      <c r="G61" s="100">
        <f>+Balance!H86</f>
        <v>0</v>
      </c>
      <c r="H61" s="80" t="e">
        <f t="shared" si="1"/>
        <v>#DIV/0!</v>
      </c>
    </row>
    <row r="62" spans="1:8" ht="15.75" thickBot="1">
      <c r="A62" s="105" t="s">
        <v>504</v>
      </c>
      <c r="B62" s="675" t="s">
        <v>505</v>
      </c>
      <c r="C62" s="94">
        <f>+ROUND(SUM(C63,-C64,-C65),2)</f>
        <v>0</v>
      </c>
      <c r="D62" s="80" t="e">
        <f t="shared" si="2"/>
        <v>#DIV/0!</v>
      </c>
      <c r="E62" s="90" t="s">
        <v>506</v>
      </c>
      <c r="F62" s="88" t="s">
        <v>507</v>
      </c>
      <c r="G62" s="100">
        <f>+Balance!H87</f>
        <v>0</v>
      </c>
      <c r="H62" s="80" t="e">
        <f t="shared" si="1"/>
        <v>#DIV/0!</v>
      </c>
    </row>
    <row r="63" spans="1:8" ht="15.75" thickBot="1">
      <c r="A63" s="87" t="s">
        <v>508</v>
      </c>
      <c r="B63" s="1079" t="s">
        <v>509</v>
      </c>
      <c r="C63" s="89">
        <f>+ROUND(SUM(Balance!D132,Balance!D136,Balance!D140,Balance!D144,Balance!D148,Balance!D152),2)</f>
        <v>0</v>
      </c>
      <c r="D63" s="80" t="e">
        <f t="shared" si="2"/>
        <v>#DIV/0!</v>
      </c>
      <c r="E63" s="90" t="s">
        <v>510</v>
      </c>
      <c r="F63" s="283" t="s">
        <v>239</v>
      </c>
      <c r="G63" s="673">
        <f>+SUM(G64,G67,G68)</f>
        <v>0</v>
      </c>
      <c r="H63" s="80" t="e">
        <f t="shared" si="1"/>
        <v>#DIV/0!</v>
      </c>
    </row>
    <row r="64" spans="1:8" ht="15.75" thickBot="1">
      <c r="A64" s="87" t="s">
        <v>511</v>
      </c>
      <c r="B64" s="1078" t="s">
        <v>297</v>
      </c>
      <c r="C64" s="89">
        <f>+ROUND(SUM(Balance!D133,Balance!D137,Balance!D141,Balance!D145,Balance!D149,Balance!D153),2)</f>
        <v>0</v>
      </c>
      <c r="D64" s="80" t="e">
        <f t="shared" si="2"/>
        <v>#DIV/0!</v>
      </c>
      <c r="E64" s="90" t="s">
        <v>512</v>
      </c>
      <c r="F64" s="93" t="s">
        <v>513</v>
      </c>
      <c r="G64" s="106">
        <f>+SUM(G65:G66)</f>
        <v>0</v>
      </c>
      <c r="H64" s="80" t="e">
        <f t="shared" si="1"/>
        <v>#DIV/0!</v>
      </c>
    </row>
    <row r="65" spans="1:8" ht="15.75" thickBot="1">
      <c r="A65" s="87" t="s">
        <v>514</v>
      </c>
      <c r="B65" s="1080" t="s">
        <v>298</v>
      </c>
      <c r="C65" s="89">
        <f>+ROUND(SUM(Balance!D134,Balance!D138,Balance!D142,Balance!D146,Balance!D150,Balance!D154),2)</f>
        <v>0</v>
      </c>
      <c r="D65" s="80" t="e">
        <f t="shared" si="2"/>
        <v>#DIV/0!</v>
      </c>
      <c r="E65" s="90" t="s">
        <v>515</v>
      </c>
      <c r="F65" s="88" t="s">
        <v>242</v>
      </c>
      <c r="G65" s="100">
        <f>+Balance!H90</f>
        <v>0</v>
      </c>
      <c r="H65" s="80" t="e">
        <f t="shared" si="1"/>
        <v>#DIV/0!</v>
      </c>
    </row>
    <row r="66" spans="1:8" ht="15.75" thickBot="1">
      <c r="A66" s="87"/>
      <c r="B66" s="29"/>
      <c r="C66" s="107"/>
      <c r="D66" s="108"/>
      <c r="E66" s="90" t="s">
        <v>516</v>
      </c>
      <c r="F66" s="88" t="s">
        <v>244</v>
      </c>
      <c r="G66" s="100">
        <f>+Balance!H91</f>
        <v>0</v>
      </c>
      <c r="H66" s="80" t="e">
        <f t="shared" si="1"/>
        <v>#DIV/0!</v>
      </c>
    </row>
    <row r="67" spans="1:8" ht="15.75" thickBot="1">
      <c r="A67" s="87"/>
      <c r="B67" s="29"/>
      <c r="C67" s="109"/>
      <c r="D67" s="108"/>
      <c r="E67" s="90" t="s">
        <v>517</v>
      </c>
      <c r="F67" s="29" t="s">
        <v>248</v>
      </c>
      <c r="G67" s="100">
        <f>+Balance!H92</f>
        <v>0</v>
      </c>
      <c r="H67" s="80" t="e">
        <f t="shared" si="1"/>
        <v>#DIV/0!</v>
      </c>
    </row>
    <row r="68" spans="1:8" ht="15.75" thickBot="1">
      <c r="A68" s="87"/>
      <c r="B68" s="29"/>
      <c r="C68" s="109"/>
      <c r="D68" s="108"/>
      <c r="E68" s="90" t="s">
        <v>518</v>
      </c>
      <c r="F68" s="93" t="s">
        <v>211</v>
      </c>
      <c r="G68" s="100">
        <f>+Balance!H94</f>
        <v>0</v>
      </c>
      <c r="H68" s="80" t="e">
        <f t="shared" si="1"/>
        <v>#DIV/0!</v>
      </c>
    </row>
    <row r="69" spans="1:8" ht="15.75" thickBot="1">
      <c r="A69" s="87"/>
      <c r="B69" s="29"/>
      <c r="C69" s="109"/>
      <c r="D69" s="108"/>
      <c r="E69" s="85" t="s">
        <v>519</v>
      </c>
      <c r="F69" s="43" t="s">
        <v>520</v>
      </c>
      <c r="G69" s="110">
        <f>+SUM(G70:G75)</f>
        <v>0</v>
      </c>
      <c r="H69" s="80" t="e">
        <f t="shared" si="1"/>
        <v>#DIV/0!</v>
      </c>
    </row>
    <row r="70" spans="1:8" ht="15.75" thickBot="1">
      <c r="A70" s="87"/>
      <c r="B70" s="29"/>
      <c r="C70" s="109"/>
      <c r="D70" s="108"/>
      <c r="E70" s="90" t="s">
        <v>521</v>
      </c>
      <c r="F70" s="88" t="s">
        <v>253</v>
      </c>
      <c r="G70" s="89">
        <f>+Balance!H97</f>
        <v>0</v>
      </c>
      <c r="H70" s="80" t="e">
        <f t="shared" si="1"/>
        <v>#DIV/0!</v>
      </c>
    </row>
    <row r="71" spans="1:8" ht="15.75" thickBot="1">
      <c r="A71" s="87"/>
      <c r="B71" s="29"/>
      <c r="C71" s="109"/>
      <c r="D71" s="108"/>
      <c r="E71" s="90" t="s">
        <v>522</v>
      </c>
      <c r="F71" s="88" t="s">
        <v>255</v>
      </c>
      <c r="G71" s="89">
        <f>+Balance!H98</f>
        <v>0</v>
      </c>
      <c r="H71" s="80" t="e">
        <f t="shared" si="1"/>
        <v>#DIV/0!</v>
      </c>
    </row>
    <row r="72" spans="1:8" ht="15.75" thickBot="1">
      <c r="A72" s="87"/>
      <c r="B72" s="29"/>
      <c r="C72" s="109"/>
      <c r="D72" s="108"/>
      <c r="E72" s="90" t="s">
        <v>523</v>
      </c>
      <c r="F72" s="88" t="s">
        <v>257</v>
      </c>
      <c r="G72" s="89">
        <f>+Balance!H99</f>
        <v>0</v>
      </c>
      <c r="H72" s="80" t="e">
        <f t="shared" si="1"/>
        <v>#DIV/0!</v>
      </c>
    </row>
    <row r="73" spans="1:8" ht="15.75" thickBot="1">
      <c r="A73" s="87"/>
      <c r="B73" s="29"/>
      <c r="C73" s="109"/>
      <c r="D73" s="108"/>
      <c r="E73" s="90" t="s">
        <v>524</v>
      </c>
      <c r="F73" s="88" t="s">
        <v>259</v>
      </c>
      <c r="G73" s="89">
        <f>+Balance!H100</f>
        <v>0</v>
      </c>
      <c r="H73" s="80" t="e">
        <f t="shared" si="1"/>
        <v>#DIV/0!</v>
      </c>
    </row>
    <row r="74" spans="1:8" ht="15.75" thickBot="1">
      <c r="A74" s="87"/>
      <c r="B74" s="29"/>
      <c r="C74" s="109"/>
      <c r="D74" s="108"/>
      <c r="E74" s="90" t="s">
        <v>525</v>
      </c>
      <c r="F74" s="88" t="s">
        <v>261</v>
      </c>
      <c r="G74" s="89">
        <f>+Balance!H101</f>
        <v>0</v>
      </c>
      <c r="H74" s="80" t="e">
        <f t="shared" si="1"/>
        <v>#DIV/0!</v>
      </c>
    </row>
    <row r="75" spans="1:8" ht="15.75" thickBot="1">
      <c r="A75" s="87"/>
      <c r="B75" s="29"/>
      <c r="C75" s="109"/>
      <c r="D75" s="108"/>
      <c r="E75" s="90" t="s">
        <v>526</v>
      </c>
      <c r="F75" s="111" t="s">
        <v>262</v>
      </c>
      <c r="G75" s="94">
        <f>+SUM(G76,G77)</f>
        <v>0</v>
      </c>
      <c r="H75" s="80" t="e">
        <f t="shared" si="1"/>
        <v>#DIV/0!</v>
      </c>
    </row>
    <row r="76" spans="1:8" ht="15.75" thickBot="1">
      <c r="A76" s="87"/>
      <c r="B76" s="29"/>
      <c r="C76" s="109"/>
      <c r="D76" s="108"/>
      <c r="E76" s="90" t="s">
        <v>527</v>
      </c>
      <c r="F76" s="1084" t="s">
        <v>263</v>
      </c>
      <c r="G76" s="1062">
        <f>+Balance!H221</f>
        <v>0</v>
      </c>
      <c r="H76" s="80" t="e">
        <f t="shared" ref="H76:H77" si="3">+G76/$C$78</f>
        <v>#DIV/0!</v>
      </c>
    </row>
    <row r="77" spans="1:8" ht="15.75" thickBot="1">
      <c r="A77" s="87"/>
      <c r="B77" s="29"/>
      <c r="C77" s="109"/>
      <c r="D77" s="108"/>
      <c r="E77" s="90" t="s">
        <v>528</v>
      </c>
      <c r="F77" s="88" t="s">
        <v>264</v>
      </c>
      <c r="G77" s="1062">
        <f>+Balance!H104</f>
        <v>0</v>
      </c>
      <c r="H77" s="80" t="e">
        <f t="shared" si="3"/>
        <v>#DIV/0!</v>
      </c>
    </row>
    <row r="78" spans="1:8" ht="15.75" thickBot="1">
      <c r="A78" s="44"/>
      <c r="B78" s="1081" t="s">
        <v>367</v>
      </c>
      <c r="C78" s="46">
        <f>+SUM(C10,C43)</f>
        <v>0</v>
      </c>
      <c r="D78" s="47">
        <v>1</v>
      </c>
      <c r="E78" s="45"/>
      <c r="F78" s="1081" t="s">
        <v>367</v>
      </c>
      <c r="G78" s="46">
        <f>+SUM(G10,G44,G59)</f>
        <v>0</v>
      </c>
      <c r="H78" s="1050">
        <v>1</v>
      </c>
    </row>
    <row r="79" spans="1:8">
      <c r="C79" s="114"/>
      <c r="D79" s="115"/>
      <c r="G79" s="117"/>
      <c r="H79" s="118"/>
    </row>
    <row r="80" spans="1:8">
      <c r="C80" s="114"/>
      <c r="D80" s="115"/>
      <c r="G80" s="117"/>
      <c r="H80" s="118"/>
    </row>
    <row r="81" spans="1:8">
      <c r="C81" s="114"/>
      <c r="D81" s="115"/>
      <c r="G81" s="117"/>
      <c r="H81" s="118"/>
    </row>
    <row r="82" spans="1:8">
      <c r="A82" s="1416" t="s">
        <v>111</v>
      </c>
      <c r="B82" s="1416"/>
      <c r="C82" s="1416"/>
      <c r="D82" s="1416"/>
      <c r="E82" s="1416"/>
      <c r="F82" s="1416"/>
      <c r="G82" s="1416"/>
      <c r="H82" s="1416"/>
    </row>
    <row r="83" spans="1:8">
      <c r="A83" s="1417" t="s">
        <v>112</v>
      </c>
      <c r="B83" s="1417"/>
      <c r="C83" s="1417"/>
      <c r="D83" s="1417"/>
      <c r="E83" s="1417"/>
      <c r="F83" s="1417"/>
      <c r="G83" s="1417"/>
      <c r="H83" s="1417"/>
    </row>
    <row r="84" spans="1:8">
      <c r="A84" s="3"/>
      <c r="B84" s="1082"/>
      <c r="C84" s="3"/>
      <c r="D84" s="1"/>
      <c r="E84" s="1"/>
      <c r="F84" s="1072"/>
      <c r="G84" s="1"/>
      <c r="H84" s="948"/>
    </row>
    <row r="85" spans="1:8">
      <c r="A85" s="3"/>
      <c r="B85" s="1082"/>
      <c r="C85" s="1"/>
      <c r="D85" s="40" t="s">
        <v>392</v>
      </c>
      <c r="E85" s="1"/>
      <c r="F85" s="1072" t="str">
        <f>+STATISTICS!C112</f>
        <v>/Нэр/</v>
      </c>
      <c r="G85" s="1"/>
      <c r="H85" s="948"/>
    </row>
    <row r="86" spans="1:8">
      <c r="A86" s="3"/>
      <c r="B86" s="1082"/>
      <c r="C86" s="1"/>
      <c r="D86" s="42"/>
      <c r="E86" s="1"/>
      <c r="F86" s="1072"/>
      <c r="G86" s="1"/>
      <c r="H86" s="948"/>
    </row>
    <row r="87" spans="1:8">
      <c r="A87" s="3"/>
      <c r="B87" s="1082"/>
      <c r="C87" s="1"/>
      <c r="D87" s="40" t="s">
        <v>115</v>
      </c>
      <c r="E87" s="1"/>
      <c r="F87" s="1072" t="str">
        <f>+STATISTICS!C114</f>
        <v>/Нэр/</v>
      </c>
      <c r="G87" s="1"/>
      <c r="H87" s="948"/>
    </row>
  </sheetData>
  <sheetProtection algorithmName="SHA-512" hashValue="ViPNrb6yDSIQBffkfmVKoAmC1oS2wP0PQ1Jq2pZaQgEKukHDrvJwMgWF7YFhvuW3XA/znnkQMLqNzwOlOzSWlA==" saltValue="tOeHdaWKJXtP41gHI02BQw==" spinCount="100000" sheet="1" objects="1" scenarios="1"/>
  <mergeCells count="7">
    <mergeCell ref="A82:H82"/>
    <mergeCell ref="A83:H83"/>
    <mergeCell ref="F1:H1"/>
    <mergeCell ref="F2:H2"/>
    <mergeCell ref="A4:H4"/>
    <mergeCell ref="A5:H5"/>
    <mergeCell ref="A6:H6"/>
  </mergeCells>
  <dataValidations count="1">
    <dataValidation type="decimal" allowBlank="1" showInputMessage="1" showErrorMessage="1" sqref="H1:H8 D1:D8" xr:uid="{611F3146-5659-4BF5-A7DB-9134D88103E0}">
      <formula1>0</formula1>
      <formula2>1E+32</formula2>
    </dataValidation>
  </dataValidations>
  <pageMargins left="0.7" right="0.7"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F3C7F-6753-491F-8BB4-034C0C2C3564}">
  <dimension ref="A1:AA1007"/>
  <sheetViews>
    <sheetView workbookViewId="0">
      <selection activeCell="C71" sqref="C71"/>
    </sheetView>
  </sheetViews>
  <sheetFormatPr defaultColWidth="12.5703125" defaultRowHeight="15"/>
  <cols>
    <col min="1" max="1" width="3.42578125" bestFit="1" customWidth="1"/>
    <col min="2" max="2" width="77.7109375" bestFit="1" customWidth="1"/>
    <col min="3" max="3" width="20.85546875" bestFit="1" customWidth="1"/>
    <col min="4" max="4" width="11.7109375" style="71" customWidth="1"/>
    <col min="5" max="6" width="9.140625" customWidth="1"/>
    <col min="7" max="7" width="7" bestFit="1" customWidth="1"/>
    <col min="8" max="9" width="9.140625" customWidth="1"/>
    <col min="10" max="10" width="9.28515625" customWidth="1"/>
    <col min="11" max="11" width="9.140625" customWidth="1"/>
    <col min="12" max="22" width="4.28515625" customWidth="1"/>
  </cols>
  <sheetData>
    <row r="1" spans="1:27" ht="15" customHeight="1">
      <c r="A1" s="6"/>
      <c r="B1" s="1418"/>
      <c r="C1" s="1418"/>
      <c r="D1" s="1418"/>
      <c r="E1" s="6"/>
      <c r="F1" s="7"/>
      <c r="G1" s="6"/>
      <c r="H1" s="6"/>
      <c r="I1" s="6"/>
      <c r="J1" s="6"/>
      <c r="K1" s="6"/>
      <c r="L1" s="6"/>
      <c r="M1" s="6"/>
      <c r="N1" s="6"/>
      <c r="O1" s="6"/>
      <c r="P1" s="6"/>
      <c r="Q1" s="6"/>
      <c r="R1" s="6"/>
      <c r="S1" s="6"/>
      <c r="T1" s="6"/>
      <c r="U1" s="6"/>
      <c r="V1" s="6"/>
    </row>
    <row r="2" spans="1:27" ht="12.75" customHeight="1">
      <c r="A2" s="6"/>
      <c r="B2" s="1418"/>
      <c r="C2" s="1418"/>
      <c r="D2" s="1418"/>
      <c r="E2" s="6"/>
      <c r="F2" s="6"/>
      <c r="G2" s="6"/>
      <c r="H2" s="6"/>
      <c r="I2" s="6"/>
      <c r="J2" s="6"/>
      <c r="K2" s="6"/>
      <c r="L2" s="6"/>
      <c r="M2" s="6"/>
      <c r="N2" s="6"/>
      <c r="O2" s="6"/>
      <c r="P2" s="6"/>
      <c r="Q2" s="6"/>
      <c r="R2" s="6"/>
      <c r="S2" s="6"/>
      <c r="T2" s="6"/>
      <c r="U2" s="6"/>
      <c r="V2" s="6"/>
    </row>
    <row r="3" spans="1:27" ht="13.5" customHeight="1">
      <c r="A3" s="7"/>
      <c r="B3" s="7"/>
      <c r="C3" s="8" t="s">
        <v>529</v>
      </c>
      <c r="D3" s="66"/>
      <c r="E3" s="7"/>
      <c r="F3" s="7"/>
      <c r="G3" s="7"/>
      <c r="H3" s="7"/>
      <c r="I3" s="7"/>
      <c r="J3" s="7"/>
      <c r="K3" s="7"/>
      <c r="L3" s="7"/>
      <c r="M3" s="7"/>
      <c r="N3" s="7"/>
      <c r="O3" s="7"/>
      <c r="P3" s="7"/>
      <c r="Q3" s="7"/>
      <c r="R3" s="7"/>
      <c r="S3" s="7"/>
      <c r="T3" s="7"/>
      <c r="U3" s="7"/>
      <c r="V3" s="7"/>
      <c r="W3" s="7"/>
      <c r="X3" s="7"/>
      <c r="Y3" s="7"/>
      <c r="Z3" s="7"/>
      <c r="AA3" s="7"/>
    </row>
    <row r="4" spans="1:27" ht="12.75" customHeight="1">
      <c r="A4" s="1419" t="s">
        <v>530</v>
      </c>
      <c r="B4" s="1423"/>
      <c r="C4" s="1423"/>
      <c r="D4" s="1423"/>
      <c r="E4" s="7"/>
      <c r="F4" s="7"/>
      <c r="G4" s="7"/>
      <c r="H4" s="7"/>
      <c r="I4" s="7"/>
      <c r="J4" s="7"/>
      <c r="K4" s="7"/>
      <c r="L4" s="7"/>
      <c r="M4" s="7"/>
      <c r="N4" s="7"/>
      <c r="O4" s="7"/>
      <c r="P4" s="7"/>
      <c r="Q4" s="7"/>
      <c r="R4" s="7"/>
      <c r="S4" s="7"/>
      <c r="T4" s="7"/>
      <c r="U4" s="7"/>
      <c r="V4" s="7"/>
      <c r="W4" s="7"/>
      <c r="X4" s="7"/>
      <c r="Y4" s="7"/>
      <c r="Z4" s="7"/>
      <c r="AA4" s="7"/>
    </row>
    <row r="5" spans="1:27" ht="12.75" customHeight="1">
      <c r="A5" s="1420" t="str">
        <f>+STATISTICS!A5</f>
        <v>ХАДГАЛАМЖ, ЗЭЭЛИЙН ХОРШООНЫ НЭР</v>
      </c>
      <c r="B5" s="1423"/>
      <c r="C5" s="1423"/>
      <c r="D5" s="1423"/>
      <c r="E5" s="7"/>
      <c r="F5" s="7"/>
      <c r="G5" s="7"/>
      <c r="H5" s="7"/>
      <c r="I5" s="7"/>
      <c r="J5" s="7"/>
      <c r="K5" s="7"/>
      <c r="L5" s="7"/>
      <c r="M5" s="7"/>
      <c r="N5" s="7"/>
      <c r="O5" s="7"/>
      <c r="P5" s="7"/>
      <c r="Q5" s="7"/>
      <c r="R5" s="7"/>
      <c r="S5" s="7"/>
      <c r="T5" s="7"/>
      <c r="U5" s="7"/>
      <c r="V5" s="7"/>
      <c r="W5" s="7"/>
      <c r="X5" s="7"/>
      <c r="Y5" s="7"/>
      <c r="Z5" s="7"/>
      <c r="AA5" s="7"/>
    </row>
    <row r="6" spans="1:27" ht="12.75" customHeight="1">
      <c r="A6" s="1419" t="s">
        <v>38</v>
      </c>
      <c r="B6" s="1423"/>
      <c r="C6" s="1423"/>
      <c r="D6" s="1423"/>
      <c r="E6" s="7"/>
      <c r="F6" s="7"/>
      <c r="G6" s="7"/>
      <c r="H6" s="7"/>
      <c r="I6" s="7"/>
      <c r="J6" s="7"/>
      <c r="K6" s="7"/>
      <c r="L6" s="7"/>
      <c r="M6" s="7"/>
      <c r="N6" s="7"/>
      <c r="O6" s="7"/>
      <c r="P6" s="7"/>
      <c r="Q6" s="7"/>
      <c r="R6" s="7"/>
      <c r="S6" s="7"/>
      <c r="T6" s="7"/>
      <c r="U6" s="7"/>
      <c r="V6" s="7"/>
      <c r="W6" s="7"/>
      <c r="X6" s="7"/>
      <c r="Y6" s="7"/>
      <c r="Z6" s="7"/>
      <c r="AA6" s="7"/>
    </row>
    <row r="7" spans="1:27" ht="20.25" customHeight="1">
      <c r="A7" s="7"/>
      <c r="B7" s="7"/>
      <c r="C7" s="8"/>
      <c r="D7" s="66"/>
      <c r="E7" s="7"/>
      <c r="F7" s="7"/>
      <c r="G7" s="7"/>
      <c r="H7" s="7"/>
      <c r="I7" s="7"/>
      <c r="J7" s="7"/>
      <c r="K7" s="7"/>
      <c r="L7" s="7"/>
      <c r="M7" s="7"/>
      <c r="N7" s="7"/>
      <c r="O7" s="7"/>
      <c r="P7" s="7"/>
      <c r="Q7" s="7"/>
      <c r="R7" s="7"/>
      <c r="S7" s="7"/>
      <c r="T7" s="7"/>
      <c r="U7" s="7"/>
      <c r="V7" s="7"/>
      <c r="W7" s="7"/>
      <c r="X7" s="7"/>
      <c r="Y7" s="7"/>
      <c r="Z7" s="7"/>
      <c r="AA7" s="7"/>
    </row>
    <row r="8" spans="1:27" ht="16.5" customHeight="1" thickBot="1">
      <c r="A8" s="1421"/>
      <c r="B8" s="1422"/>
      <c r="C8" s="9"/>
      <c r="D8" s="67" t="s">
        <v>117</v>
      </c>
      <c r="E8" s="9"/>
      <c r="F8" s="9"/>
      <c r="G8" s="9"/>
      <c r="H8" s="9"/>
      <c r="I8" s="9"/>
      <c r="J8" s="9"/>
      <c r="K8" s="9"/>
      <c r="L8" s="9"/>
      <c r="M8" s="9"/>
      <c r="N8" s="9"/>
      <c r="O8" s="9"/>
      <c r="P8" s="9"/>
      <c r="Q8" s="9"/>
      <c r="R8" s="9"/>
      <c r="S8" s="9"/>
      <c r="T8" s="9"/>
    </row>
    <row r="9" spans="1:27" ht="16.5" customHeight="1">
      <c r="A9" s="1424" t="s">
        <v>531</v>
      </c>
      <c r="B9" s="1425"/>
      <c r="C9" s="1427"/>
      <c r="D9" s="1429" t="s">
        <v>532</v>
      </c>
      <c r="E9" s="7"/>
      <c r="F9" s="7"/>
      <c r="G9" s="7"/>
      <c r="H9" s="7"/>
      <c r="I9" s="7"/>
      <c r="J9" s="7"/>
      <c r="K9" s="7"/>
      <c r="L9" s="7"/>
      <c r="M9" s="7"/>
      <c r="N9" s="7"/>
      <c r="O9" s="7"/>
      <c r="P9" s="7"/>
      <c r="Q9" s="7"/>
      <c r="R9" s="7"/>
      <c r="S9" s="7"/>
      <c r="T9" s="7"/>
    </row>
    <row r="10" spans="1:27" ht="14.25" customHeight="1" thickBot="1">
      <c r="A10" s="1426"/>
      <c r="B10" s="1426"/>
      <c r="C10" s="1428"/>
      <c r="D10" s="1430"/>
      <c r="E10" s="7"/>
      <c r="F10" s="7"/>
      <c r="G10" s="7"/>
      <c r="H10" s="7"/>
      <c r="I10" s="7"/>
      <c r="J10" s="7"/>
      <c r="K10" s="7"/>
      <c r="L10" s="7"/>
      <c r="M10" s="7"/>
      <c r="N10" s="7"/>
      <c r="O10" s="7"/>
      <c r="P10" s="7"/>
      <c r="Q10" s="7"/>
      <c r="R10" s="7"/>
      <c r="S10" s="7"/>
      <c r="T10" s="7"/>
    </row>
    <row r="11" spans="1:27" ht="12.75" customHeight="1" thickBot="1">
      <c r="A11" s="10" t="s">
        <v>42</v>
      </c>
      <c r="B11" s="18" t="s">
        <v>533</v>
      </c>
      <c r="C11" s="11">
        <f>ROUND(SUM(C12,C15,C16,-C17),2)</f>
        <v>0</v>
      </c>
      <c r="D11" s="68" t="e">
        <f t="shared" ref="D11:D17" si="0">+C11/$C$102</f>
        <v>#DIV/0!</v>
      </c>
      <c r="E11" s="7"/>
      <c r="F11" s="7"/>
      <c r="G11" s="7"/>
      <c r="H11" s="7"/>
      <c r="I11" s="7"/>
      <c r="J11" s="7"/>
      <c r="K11" s="7"/>
      <c r="L11" s="7"/>
      <c r="M11" s="7"/>
      <c r="N11" s="7"/>
      <c r="O11" s="7"/>
      <c r="P11" s="7"/>
      <c r="Q11" s="7"/>
      <c r="R11" s="7"/>
      <c r="S11" s="7"/>
      <c r="T11" s="7"/>
    </row>
    <row r="12" spans="1:27" ht="12.75" customHeight="1" thickBot="1">
      <c r="A12" s="12"/>
      <c r="B12" s="123" t="s">
        <v>269</v>
      </c>
      <c r="C12" s="1063">
        <f>+ROUND(SUM(C13:C14),2)</f>
        <v>0</v>
      </c>
      <c r="D12" s="68" t="e">
        <f t="shared" si="0"/>
        <v>#DIV/0!</v>
      </c>
      <c r="E12" s="7"/>
      <c r="F12" s="7"/>
      <c r="G12" s="7"/>
      <c r="H12" s="7"/>
      <c r="I12" s="7"/>
      <c r="J12" s="7"/>
      <c r="K12" s="7"/>
      <c r="L12" s="7"/>
      <c r="M12" s="7"/>
      <c r="N12" s="7"/>
      <c r="O12" s="7"/>
      <c r="P12" s="7"/>
      <c r="Q12" s="7"/>
      <c r="R12" s="7"/>
      <c r="S12" s="7"/>
      <c r="T12" s="7"/>
    </row>
    <row r="13" spans="1:27" ht="12.75" customHeight="1" thickBot="1">
      <c r="A13" s="12"/>
      <c r="B13" s="124" t="s">
        <v>170</v>
      </c>
      <c r="C13" s="13">
        <f>+Balance!H108</f>
        <v>0</v>
      </c>
      <c r="D13" s="68" t="e">
        <f t="shared" si="0"/>
        <v>#DIV/0!</v>
      </c>
      <c r="E13" s="7"/>
      <c r="F13" s="7"/>
      <c r="G13" s="7"/>
      <c r="H13" s="7"/>
      <c r="I13" s="7"/>
      <c r="J13" s="7"/>
      <c r="K13" s="7"/>
      <c r="L13" s="7"/>
      <c r="M13" s="7"/>
      <c r="N13" s="7"/>
      <c r="O13" s="7"/>
      <c r="P13" s="7"/>
      <c r="Q13" s="7"/>
      <c r="R13" s="7"/>
      <c r="S13" s="7"/>
      <c r="T13" s="7"/>
    </row>
    <row r="14" spans="1:27" ht="12.75" customHeight="1" thickBot="1">
      <c r="A14" s="12"/>
      <c r="B14" s="125" t="s">
        <v>171</v>
      </c>
      <c r="C14" s="14">
        <f>+Balance!H109</f>
        <v>0</v>
      </c>
      <c r="D14" s="68" t="e">
        <f t="shared" si="0"/>
        <v>#DIV/0!</v>
      </c>
      <c r="E14" s="7"/>
      <c r="F14" s="7"/>
      <c r="G14" s="7"/>
      <c r="H14" s="7"/>
      <c r="I14" s="7"/>
      <c r="J14" s="7"/>
      <c r="K14" s="7"/>
      <c r="L14" s="7"/>
      <c r="M14" s="7"/>
      <c r="N14" s="7"/>
      <c r="O14" s="7"/>
      <c r="P14" s="7"/>
      <c r="Q14" s="7"/>
      <c r="R14" s="7"/>
      <c r="S14" s="7"/>
      <c r="T14" s="7"/>
    </row>
    <row r="15" spans="1:27" ht="12.75" customHeight="1" thickBot="1">
      <c r="A15" s="12"/>
      <c r="B15" s="102" t="s">
        <v>271</v>
      </c>
      <c r="C15" s="14">
        <f>+Balance!H110</f>
        <v>0</v>
      </c>
      <c r="D15" s="68" t="e">
        <f t="shared" si="0"/>
        <v>#DIV/0!</v>
      </c>
      <c r="E15" s="7"/>
      <c r="F15" s="7"/>
      <c r="G15" s="7"/>
      <c r="H15" s="7"/>
      <c r="I15" s="7"/>
      <c r="J15" s="7"/>
      <c r="K15" s="7"/>
      <c r="L15" s="7"/>
      <c r="M15" s="7"/>
      <c r="N15" s="7"/>
      <c r="O15" s="7"/>
      <c r="P15" s="7"/>
      <c r="Q15" s="7"/>
      <c r="R15" s="7"/>
      <c r="S15" s="7"/>
      <c r="T15" s="7"/>
    </row>
    <row r="16" spans="1:27" ht="12.75" customHeight="1" thickBot="1">
      <c r="A16" s="12"/>
      <c r="B16" s="124" t="s">
        <v>272</v>
      </c>
      <c r="C16" s="15">
        <f>+Balance!H112</f>
        <v>0</v>
      </c>
      <c r="D16" s="68" t="e">
        <f t="shared" si="0"/>
        <v>#DIV/0!</v>
      </c>
      <c r="E16" s="7"/>
      <c r="F16" s="7"/>
      <c r="G16" s="7"/>
      <c r="H16" s="7"/>
      <c r="I16" s="7"/>
      <c r="J16" s="7"/>
      <c r="K16" s="7"/>
      <c r="L16" s="7"/>
      <c r="M16" s="7"/>
      <c r="N16" s="7"/>
      <c r="O16" s="7"/>
      <c r="P16" s="7"/>
      <c r="Q16" s="7"/>
      <c r="R16" s="7"/>
      <c r="S16" s="7"/>
      <c r="T16" s="7"/>
    </row>
    <row r="17" spans="1:20" ht="12.75" customHeight="1" thickBot="1">
      <c r="A17" s="12"/>
      <c r="B17" s="126" t="s">
        <v>274</v>
      </c>
      <c r="C17" s="16">
        <f>+Balance!H114</f>
        <v>0</v>
      </c>
      <c r="D17" s="68" t="e">
        <f t="shared" si="0"/>
        <v>#DIV/0!</v>
      </c>
      <c r="E17" s="7"/>
      <c r="F17" s="7"/>
      <c r="G17" s="7"/>
      <c r="H17" s="7"/>
      <c r="I17" s="7"/>
      <c r="J17" s="7"/>
      <c r="K17" s="7"/>
      <c r="L17" s="7"/>
      <c r="M17" s="7"/>
      <c r="N17" s="7"/>
      <c r="O17" s="7"/>
      <c r="P17" s="7"/>
      <c r="Q17" s="7"/>
      <c r="R17" s="7"/>
      <c r="S17" s="7"/>
      <c r="T17" s="7"/>
    </row>
    <row r="18" spans="1:20" ht="12.75" customHeight="1" thickBot="1">
      <c r="A18" s="17" t="s">
        <v>61</v>
      </c>
      <c r="B18" s="18" t="s">
        <v>534</v>
      </c>
      <c r="C18" s="19">
        <f>ROUND(SUM(C19:C22,-C23),2)</f>
        <v>0</v>
      </c>
      <c r="D18" s="68" t="e">
        <f t="shared" ref="D18:D23" si="1">+C18/$C$103</f>
        <v>#DIV/0!</v>
      </c>
      <c r="E18" s="7"/>
      <c r="F18" s="7"/>
      <c r="G18" s="7"/>
      <c r="H18" s="7"/>
      <c r="I18" s="7"/>
      <c r="J18" s="7"/>
      <c r="K18" s="7"/>
      <c r="L18" s="7"/>
      <c r="M18" s="7"/>
      <c r="N18" s="7"/>
      <c r="O18" s="7"/>
      <c r="P18" s="7"/>
      <c r="Q18" s="7"/>
      <c r="R18" s="7"/>
      <c r="S18" s="7"/>
      <c r="T18" s="7"/>
    </row>
    <row r="19" spans="1:20" ht="12.75" customHeight="1" thickBot="1">
      <c r="A19" s="12"/>
      <c r="B19" s="127" t="s">
        <v>306</v>
      </c>
      <c r="C19" s="20">
        <f>+Balance!D157</f>
        <v>0</v>
      </c>
      <c r="D19" s="68" t="e">
        <f t="shared" si="1"/>
        <v>#DIV/0!</v>
      </c>
      <c r="E19" s="7"/>
      <c r="F19" s="7"/>
      <c r="G19" s="7"/>
      <c r="H19" s="7"/>
      <c r="I19" s="7"/>
      <c r="J19" s="7"/>
      <c r="K19" s="7"/>
      <c r="L19" s="7"/>
      <c r="M19" s="7"/>
      <c r="N19" s="7"/>
      <c r="O19" s="7"/>
      <c r="P19" s="7"/>
      <c r="Q19" s="7"/>
      <c r="R19" s="7"/>
      <c r="S19" s="7"/>
      <c r="T19" s="7"/>
    </row>
    <row r="20" spans="1:20" ht="12.75" customHeight="1" thickBot="1">
      <c r="A20" s="12"/>
      <c r="B20" s="128" t="s">
        <v>307</v>
      </c>
      <c r="C20" s="20">
        <f>+Balance!D158</f>
        <v>0</v>
      </c>
      <c r="D20" s="68" t="e">
        <f t="shared" si="1"/>
        <v>#DIV/0!</v>
      </c>
      <c r="E20" s="7"/>
      <c r="F20" s="21"/>
      <c r="G20" s="21"/>
      <c r="H20" s="7"/>
      <c r="I20" s="7"/>
      <c r="J20" s="7"/>
      <c r="K20" s="7"/>
      <c r="L20" s="7"/>
      <c r="M20" s="7"/>
      <c r="N20" s="7"/>
      <c r="O20" s="7"/>
      <c r="P20" s="7"/>
      <c r="Q20" s="7"/>
      <c r="R20" s="7"/>
      <c r="S20" s="7"/>
      <c r="T20" s="7"/>
    </row>
    <row r="21" spans="1:20" ht="12.75" customHeight="1" thickBot="1">
      <c r="A21" s="12"/>
      <c r="B21" s="128" t="s">
        <v>308</v>
      </c>
      <c r="C21" s="20">
        <f>+Balance!D159</f>
        <v>0</v>
      </c>
      <c r="D21" s="68" t="e">
        <f t="shared" si="1"/>
        <v>#DIV/0!</v>
      </c>
      <c r="E21" s="7"/>
      <c r="F21" s="7"/>
      <c r="G21" s="7"/>
      <c r="H21" s="7"/>
      <c r="I21" s="7"/>
      <c r="J21" s="7"/>
      <c r="K21" s="7"/>
      <c r="L21" s="7"/>
      <c r="M21" s="7"/>
      <c r="N21" s="7"/>
      <c r="O21" s="7"/>
      <c r="P21" s="7"/>
      <c r="Q21" s="7"/>
      <c r="R21" s="7"/>
      <c r="S21" s="7"/>
      <c r="T21" s="7"/>
    </row>
    <row r="22" spans="1:20" ht="12.75" customHeight="1" thickBot="1">
      <c r="A22" s="12"/>
      <c r="B22" s="128" t="s">
        <v>309</v>
      </c>
      <c r="C22" s="20">
        <f>+Balance!D160</f>
        <v>0</v>
      </c>
      <c r="D22" s="68" t="e">
        <f t="shared" si="1"/>
        <v>#DIV/0!</v>
      </c>
      <c r="E22" s="7"/>
      <c r="F22" s="7"/>
      <c r="G22" s="7"/>
      <c r="H22" s="7"/>
      <c r="I22" s="7"/>
      <c r="J22" s="7"/>
      <c r="K22" s="7"/>
      <c r="L22" s="7"/>
      <c r="M22" s="7"/>
      <c r="N22" s="7"/>
      <c r="O22" s="7"/>
      <c r="P22" s="7"/>
      <c r="Q22" s="7"/>
      <c r="R22" s="7"/>
      <c r="S22" s="7"/>
      <c r="T22" s="7"/>
    </row>
    <row r="23" spans="1:20" ht="12.75" customHeight="1" thickBot="1">
      <c r="A23" s="12"/>
      <c r="B23" s="920" t="s">
        <v>310</v>
      </c>
      <c r="C23" s="20">
        <f>+Balance!D161</f>
        <v>0</v>
      </c>
      <c r="D23" s="68" t="e">
        <f t="shared" si="1"/>
        <v>#DIV/0!</v>
      </c>
      <c r="E23" s="7"/>
      <c r="F23" s="7"/>
      <c r="G23" s="7"/>
      <c r="H23" s="7"/>
      <c r="I23" s="7"/>
      <c r="J23" s="7"/>
      <c r="K23" s="7"/>
      <c r="L23" s="7"/>
      <c r="M23" s="7"/>
      <c r="N23" s="7"/>
      <c r="O23" s="7"/>
      <c r="P23" s="7"/>
      <c r="Q23" s="7"/>
      <c r="R23" s="7"/>
      <c r="S23" s="7"/>
      <c r="T23" s="7"/>
    </row>
    <row r="24" spans="1:20" ht="12.75" customHeight="1" thickBot="1">
      <c r="A24" s="17"/>
      <c r="B24" s="18" t="s">
        <v>535</v>
      </c>
      <c r="C24" s="22">
        <f>ROUND(SUM(C11,-C18),2)</f>
        <v>0</v>
      </c>
      <c r="D24" s="68" t="e">
        <f>+C24/$C$102</f>
        <v>#DIV/0!</v>
      </c>
      <c r="E24" s="7"/>
      <c r="F24" s="7"/>
      <c r="G24" s="7"/>
      <c r="H24" s="7"/>
      <c r="I24" s="7"/>
      <c r="J24" s="7"/>
      <c r="K24" s="7"/>
      <c r="L24" s="7"/>
      <c r="M24" s="7"/>
      <c r="N24" s="7"/>
      <c r="O24" s="7"/>
      <c r="P24" s="7"/>
      <c r="Q24" s="7"/>
      <c r="R24" s="7"/>
      <c r="S24" s="7"/>
      <c r="T24" s="7"/>
    </row>
    <row r="25" spans="1:20" ht="12.75" customHeight="1" thickBot="1">
      <c r="A25" s="10" t="s">
        <v>79</v>
      </c>
      <c r="B25" s="18" t="s">
        <v>536</v>
      </c>
      <c r="C25" s="23">
        <f>ROUND(SUM(C26:C28),2)</f>
        <v>0</v>
      </c>
      <c r="D25" s="68" t="e">
        <f>+C25/$C$103</f>
        <v>#DIV/0!</v>
      </c>
      <c r="E25" s="7"/>
      <c r="F25" s="24"/>
      <c r="G25" s="24"/>
      <c r="H25" s="7"/>
      <c r="I25" s="7"/>
      <c r="J25" s="7"/>
      <c r="K25" s="7"/>
      <c r="L25" s="7"/>
      <c r="M25" s="7"/>
      <c r="N25" s="7"/>
      <c r="O25" s="7"/>
      <c r="P25" s="7"/>
      <c r="Q25" s="7"/>
      <c r="R25" s="7"/>
      <c r="S25" s="7"/>
      <c r="T25" s="7"/>
    </row>
    <row r="26" spans="1:20" ht="12.75" customHeight="1" thickBot="1">
      <c r="A26" s="12"/>
      <c r="B26" s="127" t="s">
        <v>312</v>
      </c>
      <c r="C26" s="13">
        <f>+Balance!D163</f>
        <v>0</v>
      </c>
      <c r="D26" s="68" t="e">
        <f>+C26/$C$103</f>
        <v>#DIV/0!</v>
      </c>
      <c r="E26" s="7"/>
      <c r="F26" s="7"/>
      <c r="G26" s="7"/>
      <c r="H26" s="7"/>
      <c r="I26" s="7"/>
      <c r="J26" s="7"/>
      <c r="K26" s="7"/>
      <c r="L26" s="7"/>
      <c r="M26" s="7"/>
      <c r="N26" s="7"/>
      <c r="O26" s="7"/>
      <c r="P26" s="7"/>
      <c r="Q26" s="7"/>
      <c r="R26" s="7"/>
      <c r="S26" s="7"/>
      <c r="T26" s="7"/>
    </row>
    <row r="27" spans="1:20" ht="12.75" customHeight="1" thickBot="1">
      <c r="A27" s="12"/>
      <c r="B27" s="128" t="s">
        <v>313</v>
      </c>
      <c r="C27" s="13">
        <f>+Balance!D164</f>
        <v>0</v>
      </c>
      <c r="D27" s="68" t="e">
        <f>+C27/$C$103</f>
        <v>#DIV/0!</v>
      </c>
      <c r="E27" s="7"/>
      <c r="F27" s="7"/>
      <c r="G27" s="7"/>
      <c r="H27" s="7"/>
      <c r="I27" s="7"/>
      <c r="J27" s="7"/>
      <c r="K27" s="7"/>
      <c r="L27" s="7"/>
      <c r="M27" s="7"/>
      <c r="N27" s="7"/>
      <c r="O27" s="7"/>
      <c r="P27" s="7"/>
      <c r="Q27" s="7"/>
      <c r="R27" s="7"/>
      <c r="S27" s="7"/>
      <c r="T27" s="7"/>
    </row>
    <row r="28" spans="1:20" ht="12.75" customHeight="1" thickBot="1">
      <c r="A28" s="12"/>
      <c r="B28" s="129" t="s">
        <v>314</v>
      </c>
      <c r="C28" s="13">
        <f>+Balance!D165</f>
        <v>0</v>
      </c>
      <c r="D28" s="68" t="e">
        <f>+C28/$C$103</f>
        <v>#DIV/0!</v>
      </c>
      <c r="E28" s="7"/>
      <c r="F28" s="21"/>
      <c r="G28" s="21"/>
      <c r="H28" s="7"/>
      <c r="I28" s="7"/>
      <c r="J28" s="7"/>
      <c r="K28" s="7"/>
      <c r="L28" s="7"/>
      <c r="M28" s="7"/>
      <c r="N28" s="7"/>
      <c r="O28" s="7"/>
      <c r="P28" s="7"/>
      <c r="Q28" s="7"/>
      <c r="R28" s="7"/>
      <c r="S28" s="7"/>
      <c r="T28" s="7"/>
    </row>
    <row r="29" spans="1:20" ht="12.75" customHeight="1" thickBot="1">
      <c r="A29" s="12"/>
      <c r="B29" s="53" t="s">
        <v>537</v>
      </c>
      <c r="C29" s="11">
        <f>ROUND(SUM(C24,-C25),2)</f>
        <v>0</v>
      </c>
      <c r="D29" s="68" t="e">
        <f t="shared" ref="D29:D46" si="2">+C29/$C$102</f>
        <v>#DIV/0!</v>
      </c>
      <c r="E29" s="7"/>
      <c r="F29" s="21"/>
      <c r="G29" s="21"/>
      <c r="H29" s="7"/>
      <c r="I29" s="7"/>
      <c r="J29" s="7"/>
      <c r="K29" s="7"/>
      <c r="L29" s="7"/>
      <c r="M29" s="7"/>
      <c r="N29" s="7"/>
      <c r="O29" s="7"/>
      <c r="P29" s="7"/>
      <c r="Q29" s="7"/>
      <c r="R29" s="7"/>
      <c r="S29" s="7"/>
      <c r="T29" s="7"/>
    </row>
    <row r="30" spans="1:20" ht="12.75" customHeight="1" thickBot="1">
      <c r="A30" s="54" t="s">
        <v>91</v>
      </c>
      <c r="B30" s="130" t="s">
        <v>538</v>
      </c>
      <c r="C30" s="56">
        <f>+ROUND(SUM(C31:C35),2)</f>
        <v>0</v>
      </c>
      <c r="D30" s="68" t="e">
        <f t="shared" si="2"/>
        <v>#DIV/0!</v>
      </c>
      <c r="E30" s="7"/>
      <c r="F30" s="7"/>
      <c r="G30" s="7"/>
      <c r="H30" s="7"/>
      <c r="I30" s="7"/>
      <c r="J30" s="7"/>
      <c r="K30" s="7"/>
      <c r="L30" s="7"/>
      <c r="M30" s="7"/>
      <c r="N30" s="7"/>
      <c r="O30" s="7"/>
      <c r="P30" s="7"/>
      <c r="Q30" s="7"/>
      <c r="R30" s="7"/>
      <c r="S30" s="7"/>
      <c r="T30" s="7"/>
    </row>
    <row r="31" spans="1:20" ht="12.75" customHeight="1" thickBot="1">
      <c r="A31" s="12"/>
      <c r="B31" s="131" t="s">
        <v>276</v>
      </c>
      <c r="C31" s="26">
        <f>+Balance!H117</f>
        <v>0</v>
      </c>
      <c r="D31" s="68" t="e">
        <f t="shared" si="2"/>
        <v>#DIV/0!</v>
      </c>
      <c r="E31" s="7"/>
      <c r="F31" s="7"/>
      <c r="G31" s="7"/>
      <c r="H31" s="7"/>
      <c r="I31" s="7"/>
      <c r="J31" s="7"/>
      <c r="K31" s="7"/>
      <c r="L31" s="7"/>
      <c r="M31" s="7"/>
      <c r="N31" s="7"/>
      <c r="O31" s="7"/>
      <c r="P31" s="7"/>
      <c r="Q31" s="7"/>
      <c r="R31" s="7"/>
      <c r="S31" s="7"/>
      <c r="T31" s="7"/>
    </row>
    <row r="32" spans="1:20" ht="12.75" customHeight="1" thickBot="1">
      <c r="A32" s="12"/>
      <c r="B32" s="102" t="s">
        <v>278</v>
      </c>
      <c r="C32" s="26">
        <f>+Balance!H118</f>
        <v>0</v>
      </c>
      <c r="D32" s="68" t="e">
        <f t="shared" si="2"/>
        <v>#DIV/0!</v>
      </c>
      <c r="E32" s="7"/>
      <c r="F32" s="7"/>
      <c r="G32" s="7"/>
      <c r="H32" s="7"/>
      <c r="I32" s="7"/>
      <c r="J32" s="7"/>
      <c r="K32" s="7"/>
      <c r="L32" s="7"/>
      <c r="M32" s="7"/>
      <c r="N32" s="7"/>
      <c r="O32" s="7"/>
      <c r="P32" s="7"/>
      <c r="Q32" s="7"/>
      <c r="R32" s="7"/>
      <c r="S32" s="7"/>
    </row>
    <row r="33" spans="1:22" ht="12.75" customHeight="1" thickBot="1">
      <c r="A33" s="12"/>
      <c r="B33" s="132" t="s">
        <v>279</v>
      </c>
      <c r="C33" s="26">
        <f>+Balance!H119</f>
        <v>0</v>
      </c>
      <c r="D33" s="68" t="e">
        <f t="shared" si="2"/>
        <v>#DIV/0!</v>
      </c>
      <c r="E33" s="7"/>
      <c r="F33" s="7"/>
      <c r="G33" s="7"/>
      <c r="H33" s="7"/>
      <c r="I33" s="7"/>
      <c r="J33" s="7"/>
      <c r="K33" s="7"/>
      <c r="L33" s="7"/>
      <c r="M33" s="7"/>
      <c r="N33" s="7"/>
      <c r="O33" s="7"/>
      <c r="P33" s="7"/>
      <c r="Q33" s="7"/>
      <c r="R33" s="7"/>
      <c r="S33" s="7"/>
      <c r="T33" s="7"/>
    </row>
    <row r="34" spans="1:22" ht="12.75" customHeight="1" thickBot="1">
      <c r="A34" s="12"/>
      <c r="B34" s="133" t="s">
        <v>280</v>
      </c>
      <c r="C34" s="26">
        <f>+Balance!H120</f>
        <v>0</v>
      </c>
      <c r="D34" s="68" t="e">
        <f t="shared" si="2"/>
        <v>#DIV/0!</v>
      </c>
      <c r="E34" s="7"/>
      <c r="F34" s="7"/>
      <c r="G34" s="7"/>
      <c r="H34" s="7"/>
      <c r="I34" s="7"/>
      <c r="J34" s="7"/>
      <c r="K34" s="7"/>
      <c r="L34" s="7"/>
      <c r="M34" s="7"/>
      <c r="N34" s="7"/>
      <c r="O34" s="7"/>
      <c r="P34" s="7"/>
      <c r="Q34" s="7"/>
      <c r="R34" s="7"/>
      <c r="S34" s="7"/>
      <c r="T34" s="7"/>
    </row>
    <row r="35" spans="1:22" ht="12.75" customHeight="1" thickBot="1">
      <c r="A35" s="12"/>
      <c r="B35" s="134" t="s">
        <v>281</v>
      </c>
      <c r="C35" s="59">
        <f>+Balance!H121</f>
        <v>0</v>
      </c>
      <c r="D35" s="68" t="e">
        <f t="shared" si="2"/>
        <v>#DIV/0!</v>
      </c>
      <c r="E35" s="7"/>
      <c r="F35" s="7"/>
      <c r="G35" s="7"/>
      <c r="H35" s="7"/>
      <c r="I35" s="7"/>
      <c r="J35" s="7"/>
      <c r="K35" s="7"/>
      <c r="L35" s="7"/>
      <c r="M35" s="7"/>
      <c r="N35" s="7"/>
      <c r="O35" s="7"/>
      <c r="P35" s="7"/>
      <c r="Q35" s="7"/>
      <c r="R35" s="7"/>
      <c r="S35" s="7"/>
      <c r="T35" s="7"/>
    </row>
    <row r="36" spans="1:22" ht="12.75" customHeight="1" thickBot="1">
      <c r="A36" s="54" t="s">
        <v>103</v>
      </c>
      <c r="B36" s="55" t="s">
        <v>539</v>
      </c>
      <c r="C36" s="60">
        <f>ROUND(SUM(C37:C46),2)</f>
        <v>0</v>
      </c>
      <c r="D36" s="68" t="e">
        <f t="shared" si="2"/>
        <v>#DIV/0!</v>
      </c>
      <c r="E36" s="7"/>
      <c r="F36" s="7"/>
      <c r="G36" s="7"/>
      <c r="H36" s="7"/>
      <c r="I36" s="7"/>
      <c r="J36" s="7"/>
      <c r="K36" s="7"/>
      <c r="L36" s="7"/>
      <c r="M36" s="7"/>
      <c r="N36" s="7"/>
      <c r="O36" s="7"/>
      <c r="P36" s="7"/>
      <c r="Q36" s="7"/>
      <c r="R36" s="7"/>
      <c r="S36" s="7"/>
      <c r="T36" s="7"/>
      <c r="U36" s="7"/>
      <c r="V36" s="7"/>
    </row>
    <row r="37" spans="1:22" ht="12.75" customHeight="1" thickBot="1">
      <c r="A37" s="12"/>
      <c r="B37" s="132" t="s">
        <v>284</v>
      </c>
      <c r="C37" s="33">
        <f>+Balance!H123</f>
        <v>0</v>
      </c>
      <c r="D37" s="68" t="e">
        <f t="shared" si="2"/>
        <v>#DIV/0!</v>
      </c>
      <c r="E37" s="7"/>
      <c r="F37" s="7"/>
      <c r="G37" s="7"/>
      <c r="H37" s="7"/>
      <c r="I37" s="7"/>
      <c r="J37" s="7"/>
      <c r="K37" s="7"/>
      <c r="L37" s="7"/>
      <c r="M37" s="7"/>
      <c r="N37" s="7"/>
      <c r="O37" s="7"/>
      <c r="P37" s="7"/>
      <c r="Q37" s="7"/>
      <c r="R37" s="7"/>
      <c r="S37" s="7"/>
      <c r="T37" s="7"/>
      <c r="U37" s="7"/>
      <c r="V37" s="7"/>
    </row>
    <row r="38" spans="1:22" ht="12.75" customHeight="1" thickBot="1">
      <c r="A38" s="12"/>
      <c r="B38" s="135" t="s">
        <v>285</v>
      </c>
      <c r="C38" s="13">
        <f>+Balance!H124</f>
        <v>0</v>
      </c>
      <c r="D38" s="68" t="e">
        <f t="shared" si="2"/>
        <v>#DIV/0!</v>
      </c>
      <c r="E38" s="7"/>
      <c r="F38" s="7"/>
      <c r="G38" s="7"/>
      <c r="H38" s="7"/>
      <c r="I38" s="7"/>
      <c r="J38" s="7"/>
      <c r="K38" s="7"/>
      <c r="L38" s="7"/>
      <c r="M38" s="7"/>
      <c r="N38" s="7"/>
      <c r="O38" s="7"/>
      <c r="P38" s="7"/>
      <c r="Q38" s="7"/>
      <c r="R38" s="7"/>
      <c r="S38" s="7"/>
      <c r="T38" s="7"/>
      <c r="U38" s="7"/>
      <c r="V38" s="7"/>
    </row>
    <row r="39" spans="1:22" ht="12.75" customHeight="1" thickBot="1">
      <c r="A39" s="12"/>
      <c r="B39" s="135" t="s">
        <v>286</v>
      </c>
      <c r="C39" s="13">
        <f>+Balance!H125</f>
        <v>0</v>
      </c>
      <c r="D39" s="68" t="e">
        <f t="shared" si="2"/>
        <v>#DIV/0!</v>
      </c>
      <c r="E39" s="7"/>
      <c r="F39" s="7"/>
      <c r="G39" s="7"/>
      <c r="H39" s="7"/>
      <c r="I39" s="7"/>
      <c r="J39" s="7"/>
      <c r="K39" s="7"/>
      <c r="L39" s="7"/>
      <c r="M39" s="7"/>
      <c r="N39" s="7"/>
      <c r="O39" s="7"/>
      <c r="P39" s="7"/>
      <c r="Q39" s="7"/>
      <c r="R39" s="7"/>
      <c r="S39" s="7"/>
      <c r="T39" s="7"/>
      <c r="U39" s="7"/>
      <c r="V39" s="7"/>
    </row>
    <row r="40" spans="1:22" ht="12.75" customHeight="1" thickBot="1">
      <c r="A40" s="12"/>
      <c r="B40" s="135" t="s">
        <v>288</v>
      </c>
      <c r="C40" s="13">
        <f>+Balance!H126</f>
        <v>0</v>
      </c>
      <c r="D40" s="68" t="e">
        <f t="shared" si="2"/>
        <v>#DIV/0!</v>
      </c>
      <c r="E40" s="7"/>
      <c r="F40" s="7"/>
      <c r="G40" s="7"/>
      <c r="H40" s="7"/>
      <c r="I40" s="7"/>
      <c r="J40" s="7"/>
      <c r="K40" s="7"/>
      <c r="L40" s="7"/>
      <c r="M40" s="7"/>
      <c r="N40" s="7"/>
      <c r="O40" s="7"/>
      <c r="P40" s="7"/>
      <c r="Q40" s="7"/>
      <c r="R40" s="7"/>
      <c r="S40" s="7"/>
      <c r="T40" s="7"/>
      <c r="U40" s="7"/>
      <c r="V40" s="7"/>
    </row>
    <row r="41" spans="1:22" ht="12.75" customHeight="1" thickBot="1">
      <c r="A41" s="12"/>
      <c r="B41" s="135" t="s">
        <v>289</v>
      </c>
      <c r="C41" s="13">
        <f>+Balance!H127</f>
        <v>0</v>
      </c>
      <c r="D41" s="68" t="e">
        <f t="shared" si="2"/>
        <v>#DIV/0!</v>
      </c>
      <c r="E41" s="7"/>
      <c r="F41" s="7"/>
      <c r="G41" s="7"/>
      <c r="H41" s="7"/>
      <c r="I41" s="7"/>
      <c r="J41" s="7"/>
      <c r="K41" s="7"/>
      <c r="L41" s="7"/>
      <c r="M41" s="7"/>
      <c r="N41" s="7"/>
      <c r="O41" s="7"/>
      <c r="P41" s="7"/>
      <c r="Q41" s="7"/>
      <c r="R41" s="7"/>
      <c r="S41" s="7"/>
      <c r="T41" s="7"/>
      <c r="U41" s="7"/>
      <c r="V41" s="7"/>
    </row>
    <row r="42" spans="1:22" ht="12.75" customHeight="1" thickBot="1">
      <c r="A42" s="12"/>
      <c r="B42" s="135" t="s">
        <v>540</v>
      </c>
      <c r="C42" s="13">
        <f>+Balance!H128</f>
        <v>0</v>
      </c>
      <c r="D42" s="68" t="e">
        <f t="shared" si="2"/>
        <v>#DIV/0!</v>
      </c>
      <c r="E42" s="7"/>
      <c r="F42" s="7"/>
      <c r="G42" s="7"/>
      <c r="H42" s="7"/>
      <c r="I42" s="7"/>
      <c r="J42" s="7"/>
      <c r="K42" s="7"/>
      <c r="L42" s="7"/>
      <c r="M42" s="7"/>
      <c r="N42" s="7"/>
      <c r="O42" s="7"/>
      <c r="P42" s="7"/>
      <c r="Q42" s="7"/>
      <c r="R42" s="7"/>
      <c r="S42" s="7"/>
      <c r="T42" s="7"/>
      <c r="U42" s="7"/>
      <c r="V42" s="7"/>
    </row>
    <row r="43" spans="1:22" ht="12.75" customHeight="1" thickBot="1">
      <c r="A43" s="12"/>
      <c r="B43" s="135" t="s">
        <v>291</v>
      </c>
      <c r="C43" s="13">
        <f>+Balance!H129</f>
        <v>0</v>
      </c>
      <c r="D43" s="68" t="e">
        <f t="shared" si="2"/>
        <v>#DIV/0!</v>
      </c>
      <c r="E43" s="7"/>
      <c r="F43" s="7"/>
      <c r="G43" s="7"/>
      <c r="H43" s="7"/>
      <c r="I43" s="7"/>
      <c r="J43" s="7"/>
      <c r="K43" s="7"/>
      <c r="L43" s="7"/>
      <c r="M43" s="7"/>
      <c r="N43" s="7"/>
      <c r="O43" s="7"/>
      <c r="P43" s="7"/>
      <c r="Q43" s="7"/>
      <c r="R43" s="7"/>
      <c r="S43" s="7"/>
      <c r="T43" s="7"/>
      <c r="U43" s="7"/>
      <c r="V43" s="7"/>
    </row>
    <row r="44" spans="1:22" ht="12.75" customHeight="1" thickBot="1">
      <c r="A44" s="12"/>
      <c r="B44" s="135" t="s">
        <v>293</v>
      </c>
      <c r="C44" s="13">
        <f>+Balance!H130</f>
        <v>0</v>
      </c>
      <c r="D44" s="68" t="e">
        <f t="shared" si="2"/>
        <v>#DIV/0!</v>
      </c>
      <c r="E44" s="7"/>
      <c r="F44" s="7"/>
      <c r="G44" s="7"/>
      <c r="H44" s="7"/>
      <c r="I44" s="7"/>
      <c r="J44" s="7"/>
      <c r="K44" s="7"/>
      <c r="L44" s="7"/>
      <c r="M44" s="7"/>
      <c r="N44" s="7"/>
      <c r="O44" s="7"/>
      <c r="P44" s="7"/>
      <c r="Q44" s="7"/>
      <c r="R44" s="7"/>
      <c r="S44" s="7"/>
      <c r="T44" s="7"/>
      <c r="U44" s="7"/>
      <c r="V44" s="7"/>
    </row>
    <row r="45" spans="1:22" ht="12.75" customHeight="1" thickBot="1">
      <c r="A45" s="12"/>
      <c r="B45" s="135" t="s">
        <v>295</v>
      </c>
      <c r="C45" s="13">
        <f>+Balance!H131</f>
        <v>0</v>
      </c>
      <c r="D45" s="68" t="e">
        <f t="shared" si="2"/>
        <v>#DIV/0!</v>
      </c>
      <c r="E45" s="7"/>
      <c r="F45" s="7"/>
      <c r="G45" s="7"/>
      <c r="H45" s="7"/>
      <c r="I45" s="7"/>
      <c r="J45" s="7"/>
      <c r="K45" s="7"/>
      <c r="L45" s="7"/>
      <c r="M45" s="7"/>
      <c r="N45" s="7"/>
      <c r="O45" s="7"/>
      <c r="P45" s="7"/>
      <c r="Q45" s="7"/>
      <c r="R45" s="7"/>
      <c r="S45" s="7"/>
      <c r="T45" s="7"/>
      <c r="U45" s="7"/>
      <c r="V45" s="7"/>
    </row>
    <row r="46" spans="1:22" ht="12.75" customHeight="1" thickBot="1">
      <c r="A46" s="12"/>
      <c r="B46" s="134" t="s">
        <v>296</v>
      </c>
      <c r="C46" s="13">
        <f>+Balance!H132</f>
        <v>0</v>
      </c>
      <c r="D46" s="68" t="e">
        <f t="shared" si="2"/>
        <v>#DIV/0!</v>
      </c>
      <c r="E46" s="7"/>
      <c r="F46" s="21"/>
      <c r="G46" s="7"/>
      <c r="H46" s="7"/>
      <c r="I46" s="7"/>
      <c r="J46" s="7"/>
      <c r="K46" s="7"/>
      <c r="L46" s="7"/>
      <c r="M46" s="7"/>
      <c r="N46" s="7"/>
      <c r="O46" s="7"/>
      <c r="P46" s="7"/>
      <c r="Q46" s="7"/>
      <c r="R46" s="7"/>
      <c r="S46" s="7"/>
      <c r="T46" s="7"/>
      <c r="U46" s="7"/>
      <c r="V46" s="7"/>
    </row>
    <row r="47" spans="1:22" ht="12.75" customHeight="1" thickBot="1">
      <c r="A47" s="17" t="s">
        <v>541</v>
      </c>
      <c r="B47" s="18" t="s">
        <v>542</v>
      </c>
      <c r="C47" s="61">
        <f>ROUND(SUM(C48,C55,C58,C63),2)</f>
        <v>0</v>
      </c>
      <c r="D47" s="68" t="e">
        <f t="shared" ref="D47:D95" si="3">+C47/$C$103</f>
        <v>#DIV/0!</v>
      </c>
      <c r="E47" s="7"/>
      <c r="F47" s="21"/>
      <c r="G47" s="21"/>
      <c r="H47" s="7"/>
      <c r="I47" s="7"/>
      <c r="J47" s="7"/>
      <c r="K47" s="7"/>
      <c r="L47" s="7"/>
      <c r="M47" s="7"/>
      <c r="N47" s="7"/>
      <c r="O47" s="7"/>
      <c r="P47" s="7"/>
      <c r="Q47" s="7"/>
      <c r="R47" s="7"/>
      <c r="S47" s="7"/>
      <c r="T47" s="7"/>
    </row>
    <row r="48" spans="1:22" ht="12.75" customHeight="1" thickBot="1">
      <c r="A48" s="27"/>
      <c r="B48" s="130" t="s">
        <v>316</v>
      </c>
      <c r="C48" s="48">
        <f>ROUND(SUM(C49:C54),2)</f>
        <v>0</v>
      </c>
      <c r="D48" s="68" t="e">
        <f t="shared" si="3"/>
        <v>#DIV/0!</v>
      </c>
      <c r="E48" s="7"/>
      <c r="F48" s="7"/>
      <c r="G48" s="7"/>
      <c r="H48" s="7"/>
      <c r="I48" s="7"/>
      <c r="J48" s="7"/>
      <c r="K48" s="7"/>
      <c r="L48" s="7"/>
      <c r="M48" s="7"/>
      <c r="N48" s="7"/>
      <c r="O48" s="7"/>
      <c r="P48" s="7"/>
      <c r="Q48" s="7"/>
      <c r="R48" s="7"/>
      <c r="S48" s="7"/>
      <c r="T48" s="7"/>
    </row>
    <row r="49" spans="1:27" ht="12.75" customHeight="1" thickBot="1">
      <c r="A49" s="12"/>
      <c r="B49" s="136" t="s">
        <v>317</v>
      </c>
      <c r="C49" s="28">
        <f>+Balance!D168</f>
        <v>0</v>
      </c>
      <c r="D49" s="68" t="e">
        <f t="shared" si="3"/>
        <v>#DIV/0!</v>
      </c>
      <c r="E49" s="7"/>
      <c r="F49" s="7"/>
      <c r="G49" s="7"/>
      <c r="H49" s="7"/>
      <c r="I49" s="7"/>
      <c r="J49" s="7"/>
      <c r="K49" s="7"/>
      <c r="L49" s="7"/>
      <c r="M49" s="7"/>
      <c r="N49" s="7"/>
      <c r="O49" s="7"/>
      <c r="P49" s="7"/>
      <c r="Q49" s="7"/>
      <c r="R49" s="7"/>
      <c r="S49" s="7"/>
      <c r="T49" s="7"/>
    </row>
    <row r="50" spans="1:27" ht="12.75" customHeight="1" thickBot="1">
      <c r="A50" s="12"/>
      <c r="B50" s="137" t="s">
        <v>318</v>
      </c>
      <c r="C50" s="28">
        <f>+Balance!D169</f>
        <v>0</v>
      </c>
      <c r="D50" s="68" t="e">
        <f t="shared" si="3"/>
        <v>#DIV/0!</v>
      </c>
      <c r="E50" s="7"/>
      <c r="F50" s="7"/>
      <c r="G50" s="65"/>
      <c r="H50" s="7"/>
      <c r="I50" s="7"/>
      <c r="J50" s="7"/>
      <c r="K50" s="7"/>
      <c r="L50" s="7"/>
      <c r="M50" s="7"/>
      <c r="N50" s="7"/>
      <c r="O50" s="7"/>
      <c r="P50" s="7"/>
      <c r="Q50" s="7"/>
      <c r="R50" s="7"/>
      <c r="S50" s="7"/>
      <c r="T50" s="7"/>
    </row>
    <row r="51" spans="1:27" ht="12.75" customHeight="1" thickBot="1">
      <c r="A51" s="12"/>
      <c r="B51" s="137" t="s">
        <v>319</v>
      </c>
      <c r="C51" s="28">
        <f>+Balance!D170</f>
        <v>0</v>
      </c>
      <c r="D51" s="68" t="e">
        <f t="shared" si="3"/>
        <v>#DIV/0!</v>
      </c>
      <c r="E51" s="7"/>
      <c r="F51" s="7"/>
      <c r="G51" s="7"/>
      <c r="H51" s="7"/>
      <c r="I51" s="7"/>
      <c r="J51" s="7"/>
      <c r="K51" s="7"/>
      <c r="L51" s="7"/>
      <c r="M51" s="7"/>
      <c r="N51" s="7"/>
      <c r="O51" s="7"/>
      <c r="P51" s="7"/>
      <c r="Q51" s="7"/>
      <c r="R51" s="7"/>
      <c r="S51" s="7"/>
      <c r="T51" s="7"/>
    </row>
    <row r="52" spans="1:27" ht="13.5" customHeight="1" thickBot="1">
      <c r="A52" s="12"/>
      <c r="B52" s="137" t="s">
        <v>320</v>
      </c>
      <c r="C52" s="28">
        <f>+Balance!D171</f>
        <v>0</v>
      </c>
      <c r="D52" s="68" t="e">
        <f t="shared" si="3"/>
        <v>#DIV/0!</v>
      </c>
      <c r="E52" s="7"/>
      <c r="F52" s="29"/>
      <c r="G52" s="29"/>
      <c r="J52" s="7"/>
      <c r="K52" s="7"/>
      <c r="L52" s="7"/>
      <c r="M52" s="7"/>
      <c r="N52" s="7"/>
      <c r="O52" s="7"/>
      <c r="P52" s="7"/>
      <c r="Q52" s="7"/>
      <c r="R52" s="7"/>
      <c r="S52" s="7"/>
      <c r="T52" s="7"/>
    </row>
    <row r="53" spans="1:27" ht="12.75" customHeight="1" thickBot="1">
      <c r="A53" s="12"/>
      <c r="B53" s="137" t="s">
        <v>321</v>
      </c>
      <c r="C53" s="28">
        <f>+Balance!D172</f>
        <v>0</v>
      </c>
      <c r="D53" s="68" t="e">
        <f t="shared" si="3"/>
        <v>#DIV/0!</v>
      </c>
      <c r="E53" s="7"/>
      <c r="F53" s="7"/>
      <c r="G53" s="7"/>
      <c r="H53" s="7"/>
      <c r="I53" s="7"/>
      <c r="J53" s="7"/>
      <c r="K53" s="7"/>
      <c r="L53" s="7"/>
      <c r="M53" s="7"/>
      <c r="N53" s="7"/>
      <c r="O53" s="7"/>
      <c r="P53" s="7"/>
      <c r="Q53" s="7"/>
      <c r="R53" s="7"/>
      <c r="S53" s="7"/>
      <c r="T53" s="7"/>
    </row>
    <row r="54" spans="1:27" ht="15.75" customHeight="1" thickBot="1">
      <c r="A54" s="12"/>
      <c r="B54" s="138" t="s">
        <v>322</v>
      </c>
      <c r="C54" s="28">
        <f>+Balance!D173</f>
        <v>0</v>
      </c>
      <c r="D54" s="68" t="e">
        <f t="shared" si="3"/>
        <v>#DIV/0!</v>
      </c>
      <c r="E54" s="7"/>
      <c r="F54" s="7"/>
      <c r="G54" s="7"/>
      <c r="H54" s="7"/>
      <c r="I54" s="7"/>
      <c r="J54" s="7"/>
      <c r="K54" s="7"/>
      <c r="L54" s="7"/>
      <c r="M54" s="7"/>
      <c r="N54" s="7"/>
      <c r="O54" s="7"/>
      <c r="P54" s="7"/>
      <c r="Q54" s="7"/>
      <c r="R54" s="7"/>
      <c r="S54" s="7"/>
      <c r="T54" s="7"/>
    </row>
    <row r="55" spans="1:27" ht="12.75" customHeight="1" thickBot="1">
      <c r="A55" s="12"/>
      <c r="B55" s="139" t="s">
        <v>323</v>
      </c>
      <c r="C55" s="49">
        <f>ROUND(SUM(C56:C57),2)</f>
        <v>0</v>
      </c>
      <c r="D55" s="68" t="e">
        <f t="shared" si="3"/>
        <v>#DIV/0!</v>
      </c>
      <c r="E55" s="7"/>
      <c r="F55" s="7"/>
      <c r="G55" s="7"/>
      <c r="H55" s="7"/>
      <c r="I55" s="7"/>
      <c r="J55" s="7"/>
      <c r="K55" s="7"/>
      <c r="L55" s="7"/>
      <c r="M55" s="7"/>
      <c r="N55" s="7"/>
      <c r="O55" s="7"/>
      <c r="P55" s="7"/>
      <c r="Q55" s="7"/>
      <c r="R55" s="7"/>
      <c r="S55" s="7"/>
      <c r="T55" s="7"/>
    </row>
    <row r="56" spans="1:27" ht="12.75" customHeight="1" thickBot="1">
      <c r="A56" s="12"/>
      <c r="B56" s="137" t="s">
        <v>324</v>
      </c>
      <c r="C56" s="28">
        <f>+Balance!D175</f>
        <v>0</v>
      </c>
      <c r="D56" s="68" t="e">
        <f t="shared" si="3"/>
        <v>#DIV/0!</v>
      </c>
      <c r="E56" s="7"/>
      <c r="F56" s="7"/>
      <c r="G56" s="7"/>
      <c r="H56" s="7"/>
      <c r="I56" s="7"/>
      <c r="J56" s="7"/>
      <c r="K56" s="7"/>
      <c r="L56" s="7"/>
      <c r="M56" s="7"/>
      <c r="N56" s="7"/>
      <c r="O56" s="7"/>
      <c r="P56" s="7"/>
      <c r="Q56" s="7"/>
      <c r="R56" s="7"/>
      <c r="S56" s="7"/>
      <c r="T56" s="7"/>
    </row>
    <row r="57" spans="1:27" ht="12.75" customHeight="1" thickBot="1">
      <c r="A57" s="12"/>
      <c r="B57" s="138" t="s">
        <v>325</v>
      </c>
      <c r="C57" s="28">
        <f>+Balance!D176</f>
        <v>0</v>
      </c>
      <c r="D57" s="68" t="e">
        <f t="shared" si="3"/>
        <v>#DIV/0!</v>
      </c>
      <c r="E57" s="7"/>
      <c r="F57" s="7"/>
      <c r="G57" s="7"/>
      <c r="H57" s="7"/>
      <c r="I57" s="7"/>
      <c r="J57" s="7"/>
      <c r="K57" s="7"/>
      <c r="L57" s="7"/>
      <c r="M57" s="7"/>
      <c r="N57" s="7"/>
      <c r="O57" s="7"/>
      <c r="P57" s="7"/>
      <c r="Q57" s="7"/>
      <c r="R57" s="7"/>
      <c r="S57" s="7"/>
      <c r="T57" s="7"/>
    </row>
    <row r="58" spans="1:27" ht="12.75" customHeight="1" thickBot="1">
      <c r="A58" s="12"/>
      <c r="B58" s="140" t="s">
        <v>326</v>
      </c>
      <c r="C58" s="50">
        <f>ROUND(SUM(C59:C62),2)</f>
        <v>0</v>
      </c>
      <c r="D58" s="68" t="e">
        <f t="shared" si="3"/>
        <v>#DIV/0!</v>
      </c>
      <c r="E58" s="7"/>
      <c r="F58" s="7"/>
      <c r="G58" s="7"/>
      <c r="H58" s="7"/>
      <c r="I58" s="7"/>
      <c r="J58" s="7"/>
      <c r="K58" s="7"/>
      <c r="L58" s="7"/>
      <c r="M58" s="7"/>
      <c r="N58" s="7"/>
      <c r="O58" s="7"/>
      <c r="P58" s="7"/>
      <c r="Q58" s="7"/>
      <c r="R58" s="7"/>
      <c r="S58" s="7"/>
      <c r="T58" s="7"/>
      <c r="U58" s="7"/>
      <c r="V58" s="7"/>
      <c r="W58" s="7"/>
      <c r="X58" s="7"/>
      <c r="Y58" s="7"/>
      <c r="Z58" s="7"/>
      <c r="AA58" s="7"/>
    </row>
    <row r="59" spans="1:27" ht="12.75" customHeight="1" thickBot="1">
      <c r="A59" s="12"/>
      <c r="B59" s="136" t="s">
        <v>327</v>
      </c>
      <c r="C59" s="62">
        <f>+Balance!D178</f>
        <v>0</v>
      </c>
      <c r="D59" s="68" t="e">
        <f t="shared" si="3"/>
        <v>#DIV/0!</v>
      </c>
      <c r="E59" s="7"/>
      <c r="F59" s="30"/>
      <c r="G59" s="7"/>
      <c r="H59" s="7"/>
      <c r="I59" s="7"/>
      <c r="J59" s="7"/>
      <c r="K59" s="7"/>
      <c r="L59" s="7"/>
      <c r="M59" s="7"/>
      <c r="N59" s="7"/>
      <c r="O59" s="7"/>
      <c r="P59" s="7"/>
      <c r="Q59" s="7"/>
      <c r="R59" s="7"/>
      <c r="S59" s="7"/>
      <c r="T59" s="7"/>
      <c r="U59" s="7"/>
      <c r="V59" s="7"/>
      <c r="W59" s="7"/>
      <c r="X59" s="7"/>
      <c r="Y59" s="7"/>
      <c r="Z59" s="7"/>
      <c r="AA59" s="7"/>
    </row>
    <row r="60" spans="1:27" ht="12.75" customHeight="1" thickBot="1">
      <c r="A60" s="12"/>
      <c r="B60" s="137" t="s">
        <v>328</v>
      </c>
      <c r="C60" s="63">
        <f>+Balance!D179</f>
        <v>0</v>
      </c>
      <c r="D60" s="68" t="e">
        <f t="shared" si="3"/>
        <v>#DIV/0!</v>
      </c>
      <c r="E60" s="7"/>
      <c r="F60" s="7"/>
      <c r="G60" s="7"/>
      <c r="H60" s="7"/>
      <c r="I60" s="7"/>
      <c r="J60" s="7"/>
      <c r="K60" s="7"/>
      <c r="L60" s="7"/>
      <c r="M60" s="7"/>
      <c r="N60" s="7"/>
      <c r="O60" s="7"/>
      <c r="P60" s="7"/>
      <c r="Q60" s="7"/>
      <c r="R60" s="7"/>
      <c r="S60" s="7"/>
      <c r="T60" s="7"/>
      <c r="U60" s="7"/>
      <c r="V60" s="7"/>
      <c r="W60" s="7"/>
      <c r="X60" s="7"/>
      <c r="Y60" s="7"/>
      <c r="Z60" s="7"/>
      <c r="AA60" s="7"/>
    </row>
    <row r="61" spans="1:27" ht="12.75" customHeight="1" thickBot="1">
      <c r="A61" s="12"/>
      <c r="B61" s="137" t="s">
        <v>329</v>
      </c>
      <c r="C61" s="63">
        <f>+Balance!D180</f>
        <v>0</v>
      </c>
      <c r="D61" s="68" t="e">
        <f t="shared" si="3"/>
        <v>#DIV/0!</v>
      </c>
      <c r="E61" s="7"/>
      <c r="F61" s="7"/>
      <c r="G61" s="7"/>
      <c r="H61" s="7"/>
      <c r="I61" s="7"/>
      <c r="J61" s="7"/>
      <c r="K61" s="7"/>
      <c r="L61" s="7"/>
      <c r="M61" s="7"/>
      <c r="N61" s="7"/>
      <c r="O61" s="7"/>
      <c r="P61" s="7"/>
      <c r="Q61" s="7"/>
      <c r="R61" s="7"/>
      <c r="S61" s="7"/>
      <c r="T61" s="7"/>
      <c r="U61" s="7"/>
      <c r="V61" s="7"/>
    </row>
    <row r="62" spans="1:27" ht="12.75" customHeight="1" thickBot="1">
      <c r="A62" s="12"/>
      <c r="B62" s="141" t="s">
        <v>330</v>
      </c>
      <c r="C62" s="64">
        <f>+Balance!D181</f>
        <v>0</v>
      </c>
      <c r="D62" s="68" t="e">
        <f t="shared" si="3"/>
        <v>#DIV/0!</v>
      </c>
      <c r="E62" s="7"/>
      <c r="F62" s="7"/>
      <c r="G62" s="7"/>
      <c r="H62" s="7"/>
      <c r="I62" s="7"/>
      <c r="J62" s="7"/>
      <c r="K62" s="7"/>
      <c r="L62" s="7"/>
      <c r="M62" s="7"/>
      <c r="N62" s="7"/>
      <c r="O62" s="7"/>
      <c r="P62" s="7"/>
      <c r="Q62" s="7"/>
      <c r="R62" s="7"/>
      <c r="S62" s="7"/>
      <c r="T62" s="7"/>
      <c r="U62" s="7"/>
      <c r="V62" s="7"/>
    </row>
    <row r="63" spans="1:27" ht="12.75" customHeight="1" thickBot="1">
      <c r="A63" s="12"/>
      <c r="B63" s="130" t="s">
        <v>331</v>
      </c>
      <c r="C63" s="1064">
        <f>ROUND(SUM(C64:C84),2)</f>
        <v>0</v>
      </c>
      <c r="D63" s="68" t="e">
        <f t="shared" si="3"/>
        <v>#DIV/0!</v>
      </c>
      <c r="E63" s="7"/>
      <c r="F63" s="7"/>
      <c r="G63" s="7"/>
      <c r="H63" s="7"/>
      <c r="I63" s="7"/>
      <c r="J63" s="7"/>
      <c r="K63" s="7"/>
      <c r="L63" s="7"/>
      <c r="M63" s="7"/>
      <c r="N63" s="7"/>
      <c r="O63" s="7"/>
      <c r="P63" s="7"/>
      <c r="Q63" s="7"/>
      <c r="R63" s="7"/>
      <c r="S63" s="7"/>
      <c r="T63" s="7"/>
      <c r="U63" s="7"/>
      <c r="V63" s="7"/>
    </row>
    <row r="64" spans="1:27" ht="12.75" customHeight="1" thickBot="1">
      <c r="A64" s="12"/>
      <c r="B64" s="136" t="s">
        <v>332</v>
      </c>
      <c r="C64" s="32">
        <f>+Balance!D183</f>
        <v>0</v>
      </c>
      <c r="D64" s="68" t="e">
        <f t="shared" si="3"/>
        <v>#DIV/0!</v>
      </c>
      <c r="E64" s="7"/>
      <c r="F64" s="7"/>
      <c r="G64" s="7"/>
      <c r="H64" s="7"/>
      <c r="I64" s="7"/>
      <c r="J64" s="7"/>
      <c r="K64" s="7"/>
      <c r="L64" s="7"/>
      <c r="M64" s="7"/>
      <c r="N64" s="7"/>
      <c r="O64" s="7"/>
      <c r="P64" s="7"/>
      <c r="Q64" s="7"/>
      <c r="R64" s="7"/>
      <c r="S64" s="7"/>
      <c r="T64" s="7"/>
      <c r="U64" s="7"/>
      <c r="V64" s="7"/>
    </row>
    <row r="65" spans="1:22" ht="12.75" customHeight="1" thickBot="1">
      <c r="A65" s="12"/>
      <c r="B65" s="137" t="s">
        <v>333</v>
      </c>
      <c r="C65" s="32">
        <f>+Balance!D184</f>
        <v>0</v>
      </c>
      <c r="D65" s="68" t="e">
        <f t="shared" si="3"/>
        <v>#DIV/0!</v>
      </c>
      <c r="E65" s="7"/>
      <c r="F65" s="7"/>
      <c r="G65" s="7"/>
      <c r="H65" s="7"/>
      <c r="I65" s="7"/>
      <c r="J65" s="7"/>
      <c r="K65" s="7"/>
      <c r="L65" s="7"/>
      <c r="M65" s="7"/>
      <c r="N65" s="7"/>
      <c r="O65" s="7"/>
      <c r="P65" s="7"/>
      <c r="Q65" s="7"/>
      <c r="R65" s="7"/>
      <c r="S65" s="7"/>
      <c r="T65" s="7"/>
      <c r="U65" s="7"/>
      <c r="V65" s="7"/>
    </row>
    <row r="66" spans="1:22" ht="12.75" customHeight="1" thickBot="1">
      <c r="A66" s="12"/>
      <c r="B66" s="137" t="s">
        <v>334</v>
      </c>
      <c r="C66" s="32">
        <f>+Balance!D185</f>
        <v>0</v>
      </c>
      <c r="D66" s="68" t="e">
        <f t="shared" si="3"/>
        <v>#DIV/0!</v>
      </c>
      <c r="E66" s="7"/>
      <c r="F66" s="7"/>
      <c r="G66" s="7"/>
      <c r="H66" s="7"/>
      <c r="I66" s="7"/>
      <c r="J66" s="7"/>
      <c r="K66" s="7"/>
      <c r="L66" s="7"/>
      <c r="M66" s="7"/>
      <c r="N66" s="7"/>
      <c r="O66" s="7"/>
      <c r="P66" s="7"/>
      <c r="Q66" s="7"/>
      <c r="R66" s="7"/>
      <c r="S66" s="7"/>
      <c r="T66" s="7"/>
      <c r="U66" s="7"/>
      <c r="V66" s="7"/>
    </row>
    <row r="67" spans="1:22" ht="12.75" customHeight="1" thickBot="1">
      <c r="A67" s="12"/>
      <c r="B67" s="137" t="s">
        <v>335</v>
      </c>
      <c r="C67" s="32">
        <f>+Balance!D186</f>
        <v>0</v>
      </c>
      <c r="D67" s="68" t="e">
        <f t="shared" si="3"/>
        <v>#DIV/0!</v>
      </c>
      <c r="E67" s="7"/>
      <c r="F67" s="7"/>
      <c r="G67" s="7"/>
      <c r="H67" s="7"/>
      <c r="I67" s="7"/>
      <c r="J67" s="7"/>
      <c r="K67" s="7"/>
      <c r="L67" s="7"/>
      <c r="M67" s="7"/>
      <c r="N67" s="7"/>
      <c r="O67" s="7"/>
      <c r="P67" s="7"/>
      <c r="Q67" s="7"/>
      <c r="R67" s="7"/>
      <c r="S67" s="7"/>
      <c r="T67" s="7"/>
      <c r="U67" s="7"/>
      <c r="V67" s="7"/>
    </row>
    <row r="68" spans="1:22" ht="12.75" customHeight="1" thickBot="1">
      <c r="A68" s="12"/>
      <c r="B68" s="137" t="s">
        <v>336</v>
      </c>
      <c r="C68" s="32">
        <f>+Balance!D187</f>
        <v>0</v>
      </c>
      <c r="D68" s="68" t="e">
        <f t="shared" si="3"/>
        <v>#DIV/0!</v>
      </c>
      <c r="E68" s="7"/>
      <c r="F68" s="7"/>
      <c r="G68" s="7"/>
      <c r="H68" s="7"/>
      <c r="I68" s="7"/>
      <c r="J68" s="7"/>
      <c r="K68" s="7"/>
      <c r="L68" s="7"/>
      <c r="M68" s="7"/>
      <c r="N68" s="7"/>
      <c r="O68" s="7"/>
      <c r="P68" s="7"/>
      <c r="Q68" s="7"/>
      <c r="R68" s="7"/>
      <c r="S68" s="7"/>
      <c r="T68" s="7"/>
      <c r="U68" s="7"/>
      <c r="V68" s="7"/>
    </row>
    <row r="69" spans="1:22" ht="12.75" customHeight="1" thickBot="1">
      <c r="A69" s="12"/>
      <c r="B69" s="137" t="s">
        <v>337</v>
      </c>
      <c r="C69" s="32">
        <f>+Balance!D188</f>
        <v>0</v>
      </c>
      <c r="D69" s="68" t="e">
        <f t="shared" si="3"/>
        <v>#DIV/0!</v>
      </c>
      <c r="E69" s="7"/>
      <c r="F69" s="7"/>
      <c r="G69" s="7"/>
      <c r="H69" s="7"/>
      <c r="I69" s="7"/>
      <c r="J69" s="7"/>
      <c r="K69" s="7"/>
      <c r="L69" s="7"/>
      <c r="M69" s="7"/>
      <c r="N69" s="7"/>
      <c r="O69" s="7"/>
      <c r="P69" s="7"/>
      <c r="Q69" s="7"/>
      <c r="R69" s="7"/>
      <c r="S69" s="7"/>
      <c r="T69" s="7"/>
      <c r="U69" s="7"/>
      <c r="V69" s="7"/>
    </row>
    <row r="70" spans="1:22" ht="12.75" customHeight="1" thickBot="1">
      <c r="A70" s="12"/>
      <c r="B70" s="137" t="s">
        <v>338</v>
      </c>
      <c r="C70" s="32">
        <f>+Balance!D189</f>
        <v>0</v>
      </c>
      <c r="D70" s="68" t="e">
        <f t="shared" si="3"/>
        <v>#DIV/0!</v>
      </c>
      <c r="E70" s="7"/>
      <c r="F70" s="7"/>
      <c r="G70" s="7"/>
      <c r="H70" s="7"/>
      <c r="I70" s="7"/>
      <c r="J70" s="7"/>
      <c r="K70" s="7"/>
      <c r="L70" s="7"/>
      <c r="M70" s="7"/>
      <c r="N70" s="7"/>
      <c r="O70" s="7"/>
      <c r="P70" s="7"/>
      <c r="Q70" s="7"/>
      <c r="R70" s="7"/>
      <c r="S70" s="7"/>
      <c r="T70" s="7"/>
      <c r="U70" s="7"/>
      <c r="V70" s="7"/>
    </row>
    <row r="71" spans="1:22" ht="12.75" customHeight="1" thickBot="1">
      <c r="A71" s="12"/>
      <c r="B71" s="137" t="s">
        <v>339</v>
      </c>
      <c r="C71" s="32">
        <f>+Balance!D190</f>
        <v>0</v>
      </c>
      <c r="D71" s="68" t="e">
        <f t="shared" si="3"/>
        <v>#DIV/0!</v>
      </c>
      <c r="E71" s="7"/>
      <c r="F71" s="7"/>
      <c r="G71" s="7"/>
      <c r="H71" s="7"/>
      <c r="I71" s="7"/>
      <c r="J71" s="7"/>
      <c r="K71" s="7"/>
      <c r="L71" s="7"/>
      <c r="M71" s="7"/>
      <c r="N71" s="7"/>
      <c r="O71" s="7"/>
      <c r="P71" s="7"/>
      <c r="Q71" s="7"/>
      <c r="R71" s="7"/>
      <c r="S71" s="7"/>
      <c r="T71" s="7"/>
      <c r="U71" s="7"/>
      <c r="V71" s="7"/>
    </row>
    <row r="72" spans="1:22" ht="12.75" customHeight="1" thickBot="1">
      <c r="A72" s="12"/>
      <c r="B72" s="137" t="s">
        <v>340</v>
      </c>
      <c r="C72" s="32">
        <f>+Balance!D191</f>
        <v>0</v>
      </c>
      <c r="D72" s="68" t="e">
        <f t="shared" si="3"/>
        <v>#DIV/0!</v>
      </c>
      <c r="E72" s="7"/>
      <c r="F72" s="7"/>
      <c r="G72" s="7"/>
      <c r="H72" s="7"/>
      <c r="I72" s="7"/>
      <c r="J72" s="7"/>
      <c r="K72" s="7"/>
      <c r="L72" s="7"/>
      <c r="M72" s="7"/>
      <c r="N72" s="7"/>
      <c r="O72" s="7"/>
      <c r="P72" s="7"/>
      <c r="Q72" s="7"/>
      <c r="R72" s="7"/>
      <c r="S72" s="7"/>
      <c r="T72" s="7"/>
      <c r="U72" s="7"/>
    </row>
    <row r="73" spans="1:22" ht="12.75" customHeight="1" thickBot="1">
      <c r="A73" s="12"/>
      <c r="B73" s="137" t="s">
        <v>341</v>
      </c>
      <c r="C73" s="32">
        <f>+Balance!D192</f>
        <v>0</v>
      </c>
      <c r="D73" s="68" t="e">
        <f t="shared" si="3"/>
        <v>#DIV/0!</v>
      </c>
      <c r="E73" s="7"/>
      <c r="F73" s="7"/>
      <c r="G73" s="7"/>
      <c r="H73" s="7"/>
      <c r="I73" s="7"/>
      <c r="J73" s="7"/>
      <c r="K73" s="7"/>
      <c r="L73" s="7"/>
      <c r="M73" s="7"/>
      <c r="N73" s="7"/>
      <c r="O73" s="7"/>
      <c r="P73" s="7"/>
      <c r="Q73" s="7"/>
      <c r="R73" s="7"/>
      <c r="S73" s="7"/>
      <c r="T73" s="7"/>
      <c r="U73" s="7"/>
      <c r="V73" s="7"/>
    </row>
    <row r="74" spans="1:22" ht="12.75" customHeight="1" thickBot="1">
      <c r="A74" s="12"/>
      <c r="B74" s="137" t="s">
        <v>342</v>
      </c>
      <c r="C74" s="32">
        <f>+Balance!D193</f>
        <v>0</v>
      </c>
      <c r="D74" s="68" t="e">
        <f t="shared" si="3"/>
        <v>#DIV/0!</v>
      </c>
      <c r="E74" s="7"/>
      <c r="F74" s="7"/>
      <c r="G74" s="7"/>
      <c r="H74" s="7"/>
      <c r="I74" s="7"/>
      <c r="J74" s="7"/>
      <c r="K74" s="7"/>
      <c r="L74" s="7"/>
      <c r="M74" s="7"/>
      <c r="N74" s="7"/>
      <c r="O74" s="7"/>
      <c r="P74" s="7"/>
      <c r="Q74" s="7"/>
      <c r="R74" s="7"/>
      <c r="S74" s="7"/>
      <c r="T74" s="7"/>
      <c r="U74" s="7"/>
      <c r="V74" s="7"/>
    </row>
    <row r="75" spans="1:22" ht="12.75" customHeight="1" thickBot="1">
      <c r="A75" s="12"/>
      <c r="B75" s="137" t="s">
        <v>343</v>
      </c>
      <c r="C75" s="32">
        <f>+Balance!D194</f>
        <v>0</v>
      </c>
      <c r="D75" s="68" t="e">
        <f t="shared" si="3"/>
        <v>#DIV/0!</v>
      </c>
      <c r="E75" s="7"/>
      <c r="F75" s="7"/>
      <c r="G75" s="7"/>
      <c r="H75" s="7"/>
      <c r="I75" s="7"/>
      <c r="J75" s="7"/>
      <c r="K75" s="7"/>
      <c r="L75" s="7"/>
      <c r="M75" s="7"/>
      <c r="N75" s="7"/>
      <c r="O75" s="7"/>
      <c r="P75" s="7"/>
      <c r="Q75" s="7"/>
      <c r="R75" s="7"/>
      <c r="S75" s="7"/>
      <c r="T75" s="7"/>
      <c r="U75" s="7"/>
      <c r="V75" s="7"/>
    </row>
    <row r="76" spans="1:22" ht="12.75" customHeight="1" thickBot="1">
      <c r="A76" s="12"/>
      <c r="B76" s="137" t="s">
        <v>344</v>
      </c>
      <c r="C76" s="32">
        <f>+Balance!D195</f>
        <v>0</v>
      </c>
      <c r="D76" s="68" t="e">
        <f t="shared" si="3"/>
        <v>#DIV/0!</v>
      </c>
      <c r="E76" s="7"/>
      <c r="F76" s="7"/>
      <c r="G76" s="7"/>
      <c r="H76" s="7"/>
      <c r="I76" s="7"/>
      <c r="J76" s="7"/>
      <c r="K76" s="7"/>
      <c r="L76" s="7"/>
      <c r="M76" s="7"/>
      <c r="N76" s="7"/>
      <c r="O76" s="7"/>
      <c r="P76" s="7"/>
      <c r="Q76" s="7"/>
      <c r="R76" s="7"/>
      <c r="S76" s="7"/>
      <c r="T76" s="7"/>
      <c r="U76" s="7"/>
      <c r="V76" s="7"/>
    </row>
    <row r="77" spans="1:22" ht="12.75" customHeight="1" thickBot="1">
      <c r="A77" s="12"/>
      <c r="B77" s="137" t="s">
        <v>345</v>
      </c>
      <c r="C77" s="32">
        <f>+Balance!D196</f>
        <v>0</v>
      </c>
      <c r="D77" s="68" t="e">
        <f t="shared" si="3"/>
        <v>#DIV/0!</v>
      </c>
      <c r="E77" s="7"/>
      <c r="F77" s="7"/>
      <c r="G77" s="7"/>
      <c r="H77" s="7"/>
      <c r="I77" s="7"/>
      <c r="J77" s="7"/>
      <c r="K77" s="7"/>
      <c r="L77" s="7"/>
      <c r="M77" s="7"/>
      <c r="N77" s="7"/>
      <c r="O77" s="7"/>
      <c r="P77" s="7"/>
      <c r="Q77" s="7"/>
      <c r="R77" s="7"/>
      <c r="S77" s="7"/>
      <c r="T77" s="7"/>
      <c r="U77" s="7"/>
      <c r="V77" s="7"/>
    </row>
    <row r="78" spans="1:22" ht="12.75" customHeight="1" thickBot="1">
      <c r="A78" s="12"/>
      <c r="B78" s="137" t="s">
        <v>346</v>
      </c>
      <c r="C78" s="32">
        <f>+Balance!D197</f>
        <v>0</v>
      </c>
      <c r="D78" s="68" t="e">
        <f t="shared" si="3"/>
        <v>#DIV/0!</v>
      </c>
      <c r="E78" s="7"/>
      <c r="F78" s="7"/>
      <c r="G78" s="7"/>
      <c r="H78" s="7"/>
      <c r="I78" s="7"/>
      <c r="J78" s="7"/>
      <c r="K78" s="7"/>
      <c r="L78" s="7"/>
      <c r="M78" s="7"/>
      <c r="N78" s="7"/>
      <c r="O78" s="7"/>
      <c r="P78" s="7"/>
      <c r="Q78" s="7"/>
      <c r="R78" s="7"/>
      <c r="S78" s="7"/>
      <c r="T78" s="7"/>
      <c r="U78" s="7"/>
      <c r="V78" s="7"/>
    </row>
    <row r="79" spans="1:22" ht="12.75" customHeight="1" thickBot="1">
      <c r="A79" s="12"/>
      <c r="B79" s="137" t="s">
        <v>347</v>
      </c>
      <c r="C79" s="32">
        <f>+Balance!D198</f>
        <v>0</v>
      </c>
      <c r="D79" s="68" t="e">
        <f t="shared" si="3"/>
        <v>#DIV/0!</v>
      </c>
      <c r="E79" s="7"/>
      <c r="F79" s="7"/>
      <c r="G79" s="7"/>
      <c r="H79" s="7"/>
      <c r="I79" s="7"/>
      <c r="J79" s="7"/>
      <c r="K79" s="7"/>
      <c r="L79" s="7"/>
      <c r="M79" s="7"/>
      <c r="N79" s="7"/>
      <c r="O79" s="7"/>
      <c r="P79" s="7"/>
      <c r="Q79" s="7"/>
      <c r="R79" s="7"/>
      <c r="S79" s="7"/>
      <c r="T79" s="7"/>
      <c r="U79" s="7"/>
      <c r="V79" s="7"/>
    </row>
    <row r="80" spans="1:22" ht="12.75" customHeight="1" thickBot="1">
      <c r="A80" s="12"/>
      <c r="B80" s="137" t="s">
        <v>348</v>
      </c>
      <c r="C80" s="32">
        <f>+Balance!D199</f>
        <v>0</v>
      </c>
      <c r="D80" s="68" t="e">
        <f t="shared" si="3"/>
        <v>#DIV/0!</v>
      </c>
      <c r="E80" s="7"/>
      <c r="F80" s="7"/>
      <c r="G80" s="7"/>
      <c r="H80" s="7"/>
      <c r="I80" s="7"/>
      <c r="J80" s="7"/>
      <c r="K80" s="7"/>
      <c r="L80" s="7"/>
      <c r="M80" s="7"/>
      <c r="N80" s="7"/>
      <c r="O80" s="7"/>
      <c r="P80" s="7"/>
      <c r="Q80" s="7"/>
      <c r="R80" s="7"/>
      <c r="S80" s="7"/>
      <c r="T80" s="7"/>
      <c r="U80" s="7"/>
      <c r="V80" s="7"/>
    </row>
    <row r="81" spans="1:22" ht="12.75" customHeight="1" thickBot="1">
      <c r="A81" s="12"/>
      <c r="B81" s="137" t="s">
        <v>349</v>
      </c>
      <c r="C81" s="32">
        <f>+Balance!D200</f>
        <v>0</v>
      </c>
      <c r="D81" s="68" t="e">
        <f t="shared" si="3"/>
        <v>#DIV/0!</v>
      </c>
      <c r="E81" s="7"/>
      <c r="F81" s="7"/>
      <c r="G81" s="7"/>
      <c r="H81" s="7"/>
      <c r="I81" s="7"/>
      <c r="J81" s="7"/>
      <c r="K81" s="7"/>
      <c r="L81" s="7"/>
      <c r="M81" s="7"/>
      <c r="N81" s="7"/>
      <c r="O81" s="7"/>
      <c r="P81" s="7"/>
      <c r="Q81" s="7"/>
      <c r="R81" s="7"/>
      <c r="S81" s="7"/>
      <c r="T81" s="7"/>
      <c r="U81" s="7"/>
      <c r="V81" s="7"/>
    </row>
    <row r="82" spans="1:22" ht="12.75" customHeight="1" thickBot="1">
      <c r="A82" s="12"/>
      <c r="B82" s="137" t="s">
        <v>350</v>
      </c>
      <c r="C82" s="32">
        <f>+Balance!D201</f>
        <v>0</v>
      </c>
      <c r="D82" s="68" t="e">
        <f t="shared" si="3"/>
        <v>#DIV/0!</v>
      </c>
      <c r="E82" s="7"/>
      <c r="F82" s="7"/>
      <c r="G82" s="7"/>
      <c r="H82" s="7"/>
      <c r="I82" s="7"/>
      <c r="J82" s="7"/>
      <c r="K82" s="7"/>
      <c r="L82" s="7"/>
      <c r="M82" s="7"/>
      <c r="N82" s="7"/>
      <c r="O82" s="7"/>
      <c r="P82" s="7"/>
      <c r="Q82" s="7"/>
      <c r="R82" s="7"/>
      <c r="S82" s="7"/>
      <c r="T82" s="7"/>
      <c r="U82" s="7"/>
      <c r="V82" s="7"/>
    </row>
    <row r="83" spans="1:22" ht="12.75" customHeight="1" thickBot="1">
      <c r="A83" s="12"/>
      <c r="B83" s="137" t="s">
        <v>351</v>
      </c>
      <c r="C83" s="32">
        <f>+Balance!D202</f>
        <v>0</v>
      </c>
      <c r="D83" s="68" t="e">
        <f t="shared" si="3"/>
        <v>#DIV/0!</v>
      </c>
      <c r="E83" s="7"/>
      <c r="F83" s="7"/>
      <c r="G83" s="7"/>
      <c r="H83" s="7"/>
      <c r="I83" s="7"/>
      <c r="J83" s="7"/>
      <c r="K83" s="7"/>
      <c r="L83" s="7"/>
      <c r="M83" s="7"/>
      <c r="N83" s="7"/>
      <c r="O83" s="7"/>
      <c r="P83" s="7"/>
      <c r="Q83" s="7"/>
      <c r="R83" s="7"/>
      <c r="S83" s="7"/>
      <c r="T83" s="7"/>
      <c r="U83" s="7"/>
      <c r="V83" s="7"/>
    </row>
    <row r="84" spans="1:22" ht="12.75" customHeight="1" thickBot="1">
      <c r="A84" s="12"/>
      <c r="B84" s="141" t="s">
        <v>352</v>
      </c>
      <c r="C84" s="31">
        <f>+Balance!D203</f>
        <v>0</v>
      </c>
      <c r="D84" s="68" t="e">
        <f t="shared" si="3"/>
        <v>#DIV/0!</v>
      </c>
      <c r="E84" s="7"/>
      <c r="F84" s="7"/>
      <c r="G84" s="7"/>
      <c r="H84" s="7"/>
      <c r="I84" s="7"/>
      <c r="J84" s="7"/>
      <c r="K84" s="7"/>
      <c r="L84" s="7"/>
      <c r="M84" s="7"/>
      <c r="N84" s="7"/>
      <c r="O84" s="7"/>
      <c r="P84" s="7"/>
      <c r="Q84" s="7"/>
      <c r="R84" s="7"/>
      <c r="S84" s="7"/>
      <c r="T84" s="7"/>
      <c r="U84" s="7"/>
      <c r="V84" s="7"/>
    </row>
    <row r="85" spans="1:22" ht="12.75" customHeight="1" thickBot="1">
      <c r="A85" s="17" t="s">
        <v>543</v>
      </c>
      <c r="B85" s="51" t="s">
        <v>544</v>
      </c>
      <c r="C85" s="60">
        <f>ROUND(SUM(C86:C95),2)</f>
        <v>0</v>
      </c>
      <c r="D85" s="68" t="e">
        <f t="shared" si="3"/>
        <v>#DIV/0!</v>
      </c>
      <c r="E85" s="7"/>
      <c r="F85" s="7"/>
      <c r="G85" s="7"/>
      <c r="H85" s="7"/>
      <c r="I85" s="7"/>
      <c r="J85" s="7"/>
      <c r="K85" s="7"/>
      <c r="L85" s="7"/>
      <c r="M85" s="7"/>
      <c r="N85" s="7"/>
      <c r="O85" s="7"/>
      <c r="P85" s="7"/>
      <c r="Q85" s="7"/>
      <c r="R85" s="7"/>
      <c r="S85" s="7"/>
      <c r="T85" s="7"/>
      <c r="U85" s="7"/>
      <c r="V85" s="7"/>
    </row>
    <row r="86" spans="1:22" ht="12.75" customHeight="1" thickBot="1">
      <c r="A86" s="12"/>
      <c r="B86" s="142" t="s">
        <v>354</v>
      </c>
      <c r="C86" s="28">
        <f>+Balance!D205</f>
        <v>0</v>
      </c>
      <c r="D86" s="68" t="e">
        <f t="shared" si="3"/>
        <v>#DIV/0!</v>
      </c>
      <c r="E86" s="7"/>
      <c r="F86" s="7"/>
      <c r="G86" s="7"/>
      <c r="H86" s="7"/>
      <c r="I86" s="7"/>
      <c r="J86" s="7"/>
      <c r="K86" s="7"/>
      <c r="L86" s="7"/>
      <c r="M86" s="7"/>
      <c r="N86" s="7"/>
      <c r="O86" s="7"/>
      <c r="P86" s="7"/>
      <c r="Q86" s="7"/>
      <c r="R86" s="7"/>
      <c r="S86" s="7"/>
      <c r="T86" s="7"/>
      <c r="U86" s="7"/>
      <c r="V86" s="7"/>
    </row>
    <row r="87" spans="1:22" ht="12.75" customHeight="1" thickBot="1">
      <c r="A87" s="12"/>
      <c r="B87" s="143" t="s">
        <v>355</v>
      </c>
      <c r="C87" s="28">
        <f>+Balance!D206</f>
        <v>0</v>
      </c>
      <c r="D87" s="68" t="e">
        <f t="shared" si="3"/>
        <v>#DIV/0!</v>
      </c>
      <c r="E87" s="7"/>
      <c r="F87" s="7"/>
      <c r="G87" s="7"/>
      <c r="H87" s="7"/>
      <c r="I87" s="7"/>
      <c r="J87" s="7"/>
      <c r="K87" s="7"/>
      <c r="L87" s="7"/>
      <c r="M87" s="7"/>
      <c r="N87" s="7"/>
      <c r="O87" s="7"/>
      <c r="P87" s="7"/>
      <c r="Q87" s="7"/>
      <c r="R87" s="7"/>
      <c r="S87" s="7"/>
      <c r="T87" s="7"/>
      <c r="U87" s="7"/>
      <c r="V87" s="7"/>
    </row>
    <row r="88" spans="1:22" ht="12.75" customHeight="1" thickBot="1">
      <c r="A88" s="12"/>
      <c r="B88" s="143" t="s">
        <v>356</v>
      </c>
      <c r="C88" s="28">
        <f>+Balance!D207</f>
        <v>0</v>
      </c>
      <c r="D88" s="68" t="e">
        <f t="shared" si="3"/>
        <v>#DIV/0!</v>
      </c>
      <c r="E88" s="7"/>
      <c r="F88" s="7"/>
      <c r="G88" s="7"/>
      <c r="H88" s="7"/>
      <c r="I88" s="7"/>
      <c r="J88" s="7"/>
      <c r="K88" s="7"/>
      <c r="L88" s="7"/>
      <c r="M88" s="7"/>
      <c r="N88" s="7"/>
      <c r="O88" s="7"/>
      <c r="P88" s="7"/>
      <c r="Q88" s="7"/>
      <c r="R88" s="7"/>
      <c r="S88" s="7"/>
      <c r="T88" s="7"/>
      <c r="U88" s="7"/>
      <c r="V88" s="7"/>
    </row>
    <row r="89" spans="1:22" ht="12.75" customHeight="1" thickBot="1">
      <c r="A89" s="12"/>
      <c r="B89" s="143" t="s">
        <v>357</v>
      </c>
      <c r="C89" s="28">
        <f>+Balance!D208</f>
        <v>0</v>
      </c>
      <c r="D89" s="68" t="e">
        <f t="shared" si="3"/>
        <v>#DIV/0!</v>
      </c>
      <c r="E89" s="7"/>
      <c r="F89" s="7"/>
      <c r="G89" s="7"/>
      <c r="H89" s="7"/>
      <c r="I89" s="7"/>
      <c r="J89" s="7"/>
      <c r="K89" s="7"/>
      <c r="L89" s="7"/>
      <c r="M89" s="7"/>
      <c r="N89" s="7"/>
      <c r="O89" s="7"/>
      <c r="P89" s="7"/>
      <c r="Q89" s="7"/>
      <c r="R89" s="7"/>
      <c r="S89" s="7"/>
      <c r="T89" s="7"/>
      <c r="U89" s="7"/>
      <c r="V89" s="7"/>
    </row>
    <row r="90" spans="1:22" ht="12.75" customHeight="1" thickBot="1">
      <c r="A90" s="12"/>
      <c r="B90" s="143" t="s">
        <v>358</v>
      </c>
      <c r="C90" s="28">
        <f>+Balance!D209</f>
        <v>0</v>
      </c>
      <c r="D90" s="68" t="e">
        <f t="shared" si="3"/>
        <v>#DIV/0!</v>
      </c>
      <c r="E90" s="7"/>
      <c r="F90" s="7"/>
      <c r="G90" s="7"/>
      <c r="H90" s="7"/>
      <c r="I90" s="7"/>
      <c r="J90" s="7"/>
      <c r="K90" s="7"/>
      <c r="L90" s="7"/>
      <c r="M90" s="7"/>
      <c r="N90" s="7"/>
      <c r="O90" s="7"/>
      <c r="P90" s="7"/>
      <c r="Q90" s="7"/>
      <c r="R90" s="7"/>
      <c r="S90" s="7"/>
      <c r="T90" s="7"/>
      <c r="U90" s="7"/>
      <c r="V90" s="7"/>
    </row>
    <row r="91" spans="1:22" ht="12.75" customHeight="1" thickBot="1">
      <c r="A91" s="12"/>
      <c r="B91" s="143" t="s">
        <v>359</v>
      </c>
      <c r="C91" s="28">
        <f>+Balance!D210</f>
        <v>0</v>
      </c>
      <c r="D91" s="68" t="e">
        <f t="shared" si="3"/>
        <v>#DIV/0!</v>
      </c>
      <c r="E91" s="7"/>
      <c r="F91" s="7"/>
      <c r="G91" s="7"/>
      <c r="H91" s="7"/>
      <c r="I91" s="7"/>
      <c r="J91" s="7"/>
      <c r="K91" s="7"/>
      <c r="L91" s="7"/>
      <c r="M91" s="7"/>
      <c r="N91" s="7"/>
      <c r="O91" s="7"/>
      <c r="P91" s="7"/>
      <c r="Q91" s="7"/>
      <c r="R91" s="7"/>
      <c r="S91" s="7"/>
      <c r="T91" s="7"/>
      <c r="U91" s="7"/>
      <c r="V91" s="7"/>
    </row>
    <row r="92" spans="1:22" ht="12.75" customHeight="1" thickBot="1">
      <c r="A92" s="12"/>
      <c r="B92" s="143" t="s">
        <v>360</v>
      </c>
      <c r="C92" s="28">
        <f>+Balance!D211</f>
        <v>0</v>
      </c>
      <c r="D92" s="68" t="e">
        <f t="shared" si="3"/>
        <v>#DIV/0!</v>
      </c>
      <c r="E92" s="7"/>
      <c r="F92" s="7"/>
      <c r="G92" s="7"/>
      <c r="H92" s="7"/>
      <c r="I92" s="7"/>
      <c r="J92" s="7"/>
      <c r="K92" s="7"/>
      <c r="L92" s="7"/>
      <c r="M92" s="7"/>
      <c r="N92" s="7"/>
      <c r="O92" s="7"/>
      <c r="P92" s="7"/>
      <c r="Q92" s="7"/>
      <c r="R92" s="7"/>
      <c r="S92" s="7"/>
      <c r="T92" s="7"/>
      <c r="U92" s="7"/>
      <c r="V92" s="7"/>
    </row>
    <row r="93" spans="1:22" ht="12.75" customHeight="1" thickBot="1">
      <c r="A93" s="12"/>
      <c r="B93" s="143" t="s">
        <v>361</v>
      </c>
      <c r="C93" s="28">
        <f>+Balance!D212</f>
        <v>0</v>
      </c>
      <c r="D93" s="68" t="e">
        <f t="shared" si="3"/>
        <v>#DIV/0!</v>
      </c>
      <c r="E93" s="7"/>
      <c r="F93" s="7"/>
      <c r="G93" s="7"/>
      <c r="H93" s="7"/>
      <c r="I93" s="7"/>
      <c r="J93" s="7"/>
      <c r="K93" s="7"/>
      <c r="L93" s="7"/>
      <c r="M93" s="7"/>
      <c r="N93" s="7"/>
      <c r="O93" s="7"/>
      <c r="P93" s="7"/>
      <c r="Q93" s="7"/>
      <c r="R93" s="7"/>
      <c r="S93" s="7"/>
      <c r="T93" s="7"/>
      <c r="U93" s="7"/>
      <c r="V93" s="7"/>
    </row>
    <row r="94" spans="1:22" ht="12.75" customHeight="1" thickBot="1">
      <c r="A94" s="12"/>
      <c r="B94" s="143" t="s">
        <v>362</v>
      </c>
      <c r="C94" s="28">
        <f>+Balance!D213</f>
        <v>0</v>
      </c>
      <c r="D94" s="68" t="e">
        <f t="shared" si="3"/>
        <v>#DIV/0!</v>
      </c>
      <c r="E94" s="7"/>
      <c r="F94" s="7"/>
      <c r="G94" s="7"/>
      <c r="H94" s="7"/>
      <c r="I94" s="7"/>
      <c r="J94" s="7"/>
      <c r="K94" s="7"/>
      <c r="L94" s="7"/>
      <c r="M94" s="7"/>
      <c r="N94" s="7"/>
      <c r="O94" s="7"/>
      <c r="P94" s="7"/>
      <c r="Q94" s="7"/>
      <c r="R94" s="7"/>
      <c r="S94" s="7"/>
      <c r="T94" s="7"/>
      <c r="U94" s="7"/>
      <c r="V94" s="7"/>
    </row>
    <row r="95" spans="1:22" ht="12.75" customHeight="1" thickBot="1">
      <c r="A95" s="12"/>
      <c r="B95" s="144" t="s">
        <v>363</v>
      </c>
      <c r="C95" s="28">
        <f>+Balance!D214</f>
        <v>0</v>
      </c>
      <c r="D95" s="68" t="e">
        <f t="shared" si="3"/>
        <v>#DIV/0!</v>
      </c>
      <c r="E95" s="7"/>
      <c r="F95" s="7"/>
      <c r="G95" s="7"/>
      <c r="H95" s="7"/>
      <c r="I95" s="7"/>
      <c r="J95" s="7"/>
      <c r="K95" s="7"/>
      <c r="L95" s="7"/>
      <c r="M95" s="7"/>
      <c r="N95" s="7"/>
      <c r="O95" s="7"/>
      <c r="P95" s="7"/>
      <c r="Q95" s="7"/>
      <c r="R95" s="7"/>
      <c r="S95" s="7"/>
      <c r="T95" s="7"/>
      <c r="U95" s="7"/>
      <c r="V95" s="7"/>
    </row>
    <row r="96" spans="1:22" ht="12.75" customHeight="1" thickBot="1">
      <c r="A96" s="17" t="s">
        <v>545</v>
      </c>
      <c r="B96" s="18" t="s">
        <v>546</v>
      </c>
      <c r="C96" s="34">
        <f>ROUND(SUM(C29,C30,C36,-C47,-C85),2)</f>
        <v>0</v>
      </c>
      <c r="D96" s="68"/>
      <c r="E96" s="7"/>
      <c r="F96" s="7"/>
      <c r="G96" s="7"/>
      <c r="H96" s="7"/>
      <c r="I96" s="7"/>
      <c r="J96" s="7"/>
      <c r="K96" s="7"/>
      <c r="L96" s="7"/>
      <c r="M96" s="7"/>
      <c r="N96" s="7"/>
      <c r="O96" s="7"/>
      <c r="P96" s="7"/>
      <c r="Q96" s="7"/>
      <c r="R96" s="7"/>
      <c r="S96" s="7"/>
      <c r="T96" s="7"/>
      <c r="U96" s="7"/>
      <c r="V96" s="7"/>
    </row>
    <row r="97" spans="1:22" ht="12.75" customHeight="1" thickBot="1">
      <c r="A97" s="12"/>
      <c r="B97" s="145" t="s">
        <v>364</v>
      </c>
      <c r="C97" s="52">
        <f>ROUND(SUM(C98,C99),2)</f>
        <v>0</v>
      </c>
      <c r="D97" s="68" t="e">
        <f t="shared" ref="D97:D99" si="4">+C97/$C$103</f>
        <v>#DIV/0!</v>
      </c>
      <c r="E97" s="7"/>
      <c r="F97" s="7"/>
      <c r="G97" s="7"/>
      <c r="H97" s="7"/>
      <c r="I97" s="7"/>
      <c r="J97" s="7"/>
      <c r="K97" s="7"/>
      <c r="L97" s="7"/>
      <c r="M97" s="7"/>
      <c r="N97" s="7"/>
      <c r="O97" s="7"/>
      <c r="P97" s="7"/>
      <c r="Q97" s="7"/>
      <c r="R97" s="7"/>
      <c r="S97" s="7"/>
      <c r="T97" s="7"/>
      <c r="U97" s="7"/>
      <c r="V97" s="7"/>
    </row>
    <row r="98" spans="1:22" ht="12.75" customHeight="1" thickBot="1">
      <c r="A98" s="12"/>
      <c r="B98" s="146" t="s">
        <v>365</v>
      </c>
      <c r="C98" s="57">
        <f>+Balance!D216</f>
        <v>0</v>
      </c>
      <c r="D98" s="68" t="e">
        <f t="shared" si="4"/>
        <v>#DIV/0!</v>
      </c>
      <c r="E98" s="7"/>
      <c r="F98" s="7"/>
      <c r="G98" s="7"/>
      <c r="H98" s="7"/>
      <c r="I98" s="7"/>
      <c r="J98" s="7"/>
      <c r="K98" s="7"/>
      <c r="L98" s="7"/>
      <c r="M98" s="7"/>
      <c r="N98" s="7"/>
      <c r="O98" s="7"/>
      <c r="P98" s="7"/>
      <c r="Q98" s="7"/>
      <c r="R98" s="7"/>
      <c r="S98" s="7"/>
      <c r="T98" s="7"/>
      <c r="U98" s="7"/>
      <c r="V98" s="7"/>
    </row>
    <row r="99" spans="1:22" ht="12.75" customHeight="1" thickBot="1">
      <c r="A99" s="12"/>
      <c r="B99" s="647" t="s">
        <v>547</v>
      </c>
      <c r="C99" s="13">
        <f>+Balance!D217</f>
        <v>0</v>
      </c>
      <c r="D99" s="648" t="e">
        <f t="shared" si="4"/>
        <v>#DIV/0!</v>
      </c>
      <c r="E99" s="7"/>
      <c r="F99" s="7"/>
      <c r="G99" s="7"/>
      <c r="H99" s="7"/>
      <c r="I99" s="7"/>
      <c r="J99" s="7"/>
      <c r="K99" s="7"/>
      <c r="L99" s="7"/>
      <c r="M99" s="7"/>
      <c r="N99" s="7"/>
      <c r="O99" s="7"/>
      <c r="P99" s="7"/>
      <c r="Q99" s="7"/>
      <c r="R99" s="7"/>
      <c r="S99" s="7"/>
      <c r="T99" s="7"/>
      <c r="U99" s="7"/>
      <c r="V99" s="7"/>
    </row>
    <row r="100" spans="1:22" ht="12.75" customHeight="1" thickBot="1">
      <c r="A100" s="54" t="s">
        <v>548</v>
      </c>
      <c r="B100" s="25" t="s">
        <v>549</v>
      </c>
      <c r="C100" s="649">
        <f>ROUND(SUM(C96-C97),2)</f>
        <v>0</v>
      </c>
      <c r="D100" s="68"/>
      <c r="E100" s="7"/>
      <c r="F100" s="7"/>
      <c r="G100" s="7"/>
      <c r="H100" s="7"/>
      <c r="I100" s="7"/>
      <c r="J100" s="7"/>
      <c r="K100" s="7"/>
      <c r="L100" s="7"/>
      <c r="M100" s="7"/>
      <c r="N100" s="7"/>
      <c r="O100" s="7"/>
      <c r="P100" s="7"/>
      <c r="Q100" s="7"/>
      <c r="R100" s="7"/>
      <c r="S100" s="7"/>
      <c r="T100" s="7"/>
      <c r="U100" s="7"/>
      <c r="V100" s="7"/>
    </row>
    <row r="101" spans="1:22" ht="12.75" customHeight="1" thickBot="1">
      <c r="A101" s="7"/>
      <c r="B101" s="7"/>
      <c r="C101" s="35"/>
      <c r="D101" s="69"/>
      <c r="E101" s="7"/>
      <c r="F101" s="7"/>
      <c r="G101" s="7"/>
      <c r="H101" s="7"/>
      <c r="I101" s="7"/>
      <c r="J101" s="7"/>
      <c r="K101" s="7"/>
      <c r="L101" s="7"/>
      <c r="M101" s="7"/>
      <c r="N101" s="7"/>
      <c r="O101" s="7"/>
      <c r="P101" s="7"/>
      <c r="Q101" s="7"/>
      <c r="R101" s="7"/>
      <c r="S101" s="7"/>
      <c r="T101" s="7"/>
      <c r="U101" s="7"/>
      <c r="V101" s="7"/>
    </row>
    <row r="102" spans="1:22" ht="12.75" customHeight="1" thickBot="1">
      <c r="A102" s="7"/>
      <c r="B102" s="36" t="s">
        <v>550</v>
      </c>
      <c r="C102" s="37">
        <f>ROUND(SUM(C11,C30,C36),2)</f>
        <v>0</v>
      </c>
      <c r="D102" s="70">
        <v>1</v>
      </c>
      <c r="E102" s="7"/>
      <c r="F102" s="7"/>
      <c r="G102" s="7"/>
      <c r="H102" s="7"/>
      <c r="I102" s="7"/>
      <c r="J102" s="7"/>
      <c r="K102" s="7"/>
      <c r="L102" s="7"/>
      <c r="M102" s="7"/>
      <c r="N102" s="7"/>
      <c r="O102" s="7"/>
      <c r="P102" s="7"/>
      <c r="Q102" s="7"/>
      <c r="R102" s="7"/>
      <c r="S102" s="7"/>
      <c r="T102" s="7"/>
      <c r="U102" s="7"/>
      <c r="V102" s="7"/>
    </row>
    <row r="103" spans="1:22" ht="12.75" customHeight="1" thickBot="1">
      <c r="A103" s="7"/>
      <c r="B103" s="36" t="s">
        <v>551</v>
      </c>
      <c r="C103" s="38">
        <f>ROUND(SUM(C18,C25,C47,C85,C97),2)</f>
        <v>0</v>
      </c>
      <c r="D103" s="70">
        <v>1</v>
      </c>
      <c r="E103" s="7"/>
      <c r="F103" s="7"/>
      <c r="G103" s="7"/>
      <c r="H103" s="7"/>
      <c r="I103" s="7"/>
      <c r="J103" s="7"/>
      <c r="K103" s="7"/>
      <c r="L103" s="7"/>
      <c r="M103" s="7"/>
      <c r="N103" s="7"/>
      <c r="O103" s="7"/>
      <c r="P103" s="7"/>
      <c r="Q103" s="7"/>
      <c r="R103" s="7"/>
      <c r="S103" s="7"/>
      <c r="T103" s="7"/>
      <c r="U103" s="7"/>
      <c r="V103" s="7"/>
    </row>
    <row r="104" spans="1:22" ht="12.75" customHeight="1" thickBot="1">
      <c r="A104" s="7"/>
      <c r="B104" s="39" t="s">
        <v>552</v>
      </c>
      <c r="C104" s="38">
        <f>ROUND(SUM(C102-C103),2)</f>
        <v>0</v>
      </c>
      <c r="D104" s="70">
        <v>1</v>
      </c>
      <c r="E104" s="21" t="str">
        <f>IF(C104=Balance!H221,"","Зөрүүтэй")</f>
        <v/>
      </c>
      <c r="F104" s="7"/>
      <c r="G104" s="7"/>
      <c r="H104" s="7"/>
      <c r="I104" s="7"/>
      <c r="J104" s="7"/>
      <c r="K104" s="7"/>
      <c r="L104" s="7"/>
      <c r="M104" s="7"/>
      <c r="N104" s="7"/>
      <c r="O104" s="7"/>
      <c r="P104" s="7"/>
      <c r="Q104" s="7"/>
      <c r="R104" s="7"/>
      <c r="S104" s="7"/>
      <c r="T104" s="7"/>
      <c r="U104" s="7"/>
      <c r="V104" s="7"/>
    </row>
    <row r="105" spans="1:22" ht="12.75" customHeight="1">
      <c r="A105" s="7"/>
      <c r="B105" s="40"/>
      <c r="C105" s="8"/>
      <c r="D105" s="66"/>
      <c r="E105" s="7"/>
      <c r="F105" s="7"/>
      <c r="G105" s="7"/>
      <c r="H105" s="7"/>
      <c r="I105" s="7"/>
      <c r="J105" s="7"/>
      <c r="K105" s="7"/>
      <c r="L105" s="7"/>
      <c r="M105" s="7"/>
      <c r="N105" s="7"/>
      <c r="O105" s="7"/>
      <c r="P105" s="7"/>
      <c r="Q105" s="7"/>
      <c r="R105" s="7"/>
      <c r="S105" s="7"/>
      <c r="T105" s="7"/>
      <c r="U105" s="7"/>
      <c r="V105" s="7"/>
    </row>
    <row r="106" spans="1:22" ht="12.75" customHeight="1">
      <c r="A106" s="7"/>
      <c r="B106" s="5"/>
      <c r="C106" s="8"/>
      <c r="D106" s="66"/>
      <c r="E106" s="7"/>
      <c r="F106" s="7"/>
      <c r="G106" s="7"/>
      <c r="H106" s="7"/>
      <c r="I106" s="7"/>
      <c r="J106" s="7"/>
      <c r="K106" s="7"/>
      <c r="L106" s="7"/>
      <c r="M106" s="7"/>
      <c r="N106" s="7"/>
      <c r="O106" s="7"/>
      <c r="P106" s="7"/>
      <c r="Q106" s="7"/>
      <c r="R106" s="7"/>
      <c r="S106" s="7"/>
      <c r="T106" s="7"/>
      <c r="U106" s="7"/>
      <c r="V106" s="7"/>
    </row>
    <row r="107" spans="1:22" ht="12.75" customHeight="1">
      <c r="A107" s="1419" t="s">
        <v>111</v>
      </c>
      <c r="B107" s="1419"/>
      <c r="C107" s="1419"/>
      <c r="D107" s="1419"/>
      <c r="E107" s="7"/>
      <c r="F107" s="7"/>
      <c r="G107" s="7"/>
      <c r="H107" s="7"/>
      <c r="I107" s="7"/>
      <c r="J107" s="7"/>
      <c r="K107" s="7"/>
      <c r="L107" s="7"/>
      <c r="M107" s="7"/>
      <c r="N107" s="7"/>
      <c r="O107" s="7"/>
      <c r="P107" s="7"/>
      <c r="Q107" s="7"/>
      <c r="R107" s="7"/>
      <c r="S107" s="7"/>
      <c r="T107" s="7"/>
      <c r="U107" s="7"/>
      <c r="V107" s="7"/>
    </row>
    <row r="108" spans="1:22">
      <c r="A108" s="1431" t="s">
        <v>112</v>
      </c>
      <c r="B108" s="1431"/>
      <c r="C108" s="1431"/>
      <c r="D108" s="1431"/>
      <c r="E108" s="7"/>
      <c r="F108" s="7"/>
      <c r="G108" s="7"/>
      <c r="H108" s="7"/>
      <c r="I108" s="7"/>
      <c r="J108" s="7"/>
      <c r="K108" s="7"/>
      <c r="L108" s="7"/>
      <c r="M108" s="7"/>
      <c r="N108" s="7"/>
      <c r="O108" s="7"/>
      <c r="P108" s="7"/>
      <c r="Q108" s="7"/>
      <c r="R108" s="7"/>
      <c r="S108" s="7"/>
      <c r="T108" s="7"/>
      <c r="U108" s="7"/>
      <c r="V108" s="7"/>
    </row>
    <row r="109" spans="1:22" ht="12.75" customHeight="1">
      <c r="A109" s="7"/>
      <c r="B109" s="41"/>
      <c r="C109" s="8"/>
      <c r="D109" s="66"/>
      <c r="E109" s="7"/>
      <c r="F109" s="7"/>
      <c r="G109" s="7"/>
      <c r="H109" s="7"/>
      <c r="I109" s="7"/>
      <c r="J109" s="7"/>
      <c r="K109" s="7"/>
      <c r="L109" s="7"/>
      <c r="M109" s="7"/>
      <c r="N109" s="7"/>
      <c r="O109" s="7"/>
      <c r="P109" s="7"/>
      <c r="Q109" s="7"/>
      <c r="R109" s="7"/>
      <c r="S109" s="7"/>
      <c r="T109" s="7"/>
      <c r="U109" s="7"/>
      <c r="V109" s="7"/>
    </row>
    <row r="110" spans="1:22" ht="12.75" customHeight="1">
      <c r="A110" s="7"/>
      <c r="B110" s="40" t="s">
        <v>392</v>
      </c>
      <c r="C110" s="8" t="str">
        <f>+STATISTICS!C112</f>
        <v>/Нэр/</v>
      </c>
      <c r="D110" s="66"/>
      <c r="E110" s="7"/>
      <c r="F110" s="7"/>
      <c r="G110" s="7"/>
      <c r="H110" s="7"/>
      <c r="I110" s="7"/>
      <c r="J110" s="7"/>
      <c r="K110" s="7"/>
      <c r="L110" s="7"/>
      <c r="M110" s="7"/>
      <c r="N110" s="7"/>
      <c r="O110" s="7"/>
      <c r="P110" s="7"/>
      <c r="Q110" s="7"/>
      <c r="R110" s="7"/>
      <c r="S110" s="7"/>
      <c r="T110" s="7"/>
      <c r="U110" s="7"/>
      <c r="V110" s="7"/>
    </row>
    <row r="111" spans="1:22" ht="12.75" customHeight="1">
      <c r="A111" s="7"/>
      <c r="B111" s="42"/>
      <c r="C111" s="8"/>
      <c r="D111" s="66"/>
      <c r="E111" s="7"/>
      <c r="F111" s="7"/>
      <c r="G111" s="7"/>
      <c r="H111" s="7"/>
      <c r="I111" s="7"/>
      <c r="J111" s="7"/>
      <c r="K111" s="7"/>
      <c r="L111" s="7"/>
      <c r="M111" s="7"/>
      <c r="N111" s="7"/>
      <c r="O111" s="7"/>
      <c r="P111" s="7"/>
      <c r="Q111" s="7"/>
      <c r="R111" s="7"/>
      <c r="S111" s="7"/>
      <c r="T111" s="7"/>
      <c r="U111" s="7"/>
      <c r="V111" s="7"/>
    </row>
    <row r="112" spans="1:22" ht="12.75" customHeight="1">
      <c r="A112" s="7"/>
      <c r="B112" s="40" t="s">
        <v>115</v>
      </c>
      <c r="C112" s="8" t="str">
        <f>+STATISTICS!C114</f>
        <v>/Нэр/</v>
      </c>
      <c r="D112" s="66"/>
      <c r="E112" s="7"/>
      <c r="F112" s="7"/>
      <c r="G112" s="7"/>
      <c r="H112" s="7"/>
      <c r="I112" s="7"/>
      <c r="J112" s="7"/>
      <c r="K112" s="7"/>
      <c r="L112" s="7"/>
      <c r="M112" s="7"/>
      <c r="N112" s="7"/>
      <c r="O112" s="7"/>
      <c r="P112" s="7"/>
      <c r="Q112" s="7"/>
      <c r="R112" s="7"/>
      <c r="S112" s="7"/>
      <c r="T112" s="7"/>
      <c r="U112" s="7"/>
      <c r="V112" s="7"/>
    </row>
    <row r="113" spans="1:22" ht="12.75" customHeight="1">
      <c r="A113" s="7"/>
      <c r="B113" s="7"/>
      <c r="C113" s="8"/>
      <c r="D113" s="66"/>
      <c r="E113" s="7"/>
      <c r="F113" s="7"/>
      <c r="G113" s="7"/>
      <c r="H113" s="7"/>
      <c r="I113" s="7"/>
      <c r="J113" s="7"/>
      <c r="K113" s="7"/>
      <c r="L113" s="7"/>
      <c r="M113" s="7"/>
      <c r="N113" s="7"/>
      <c r="O113" s="7"/>
      <c r="P113" s="7"/>
      <c r="Q113" s="7"/>
      <c r="R113" s="7"/>
      <c r="S113" s="7"/>
      <c r="T113" s="7"/>
      <c r="U113" s="7"/>
      <c r="V113" s="7"/>
    </row>
    <row r="114" spans="1:22" ht="12.75" customHeight="1">
      <c r="A114" s="7"/>
      <c r="B114" s="7"/>
      <c r="C114" s="8"/>
      <c r="D114" s="66"/>
      <c r="E114" s="7"/>
      <c r="F114" s="7"/>
      <c r="G114" s="7"/>
      <c r="H114" s="7"/>
      <c r="I114" s="7"/>
      <c r="J114" s="7"/>
      <c r="K114" s="7"/>
      <c r="L114" s="7"/>
      <c r="M114" s="7"/>
      <c r="N114" s="7"/>
      <c r="O114" s="7"/>
      <c r="P114" s="7"/>
      <c r="Q114" s="7"/>
      <c r="R114" s="7"/>
      <c r="S114" s="7"/>
      <c r="T114" s="7"/>
      <c r="U114" s="7"/>
      <c r="V114" s="7"/>
    </row>
    <row r="115" spans="1:22" ht="18.75" customHeight="1">
      <c r="A115" s="7"/>
      <c r="B115" s="7"/>
      <c r="C115" s="8"/>
      <c r="D115" s="66"/>
      <c r="E115" s="7"/>
      <c r="F115" s="7"/>
      <c r="G115" s="7"/>
      <c r="H115" s="7"/>
      <c r="I115" s="7"/>
      <c r="J115" s="7"/>
      <c r="K115" s="7"/>
      <c r="L115" s="7"/>
      <c r="M115" s="7"/>
      <c r="N115" s="7"/>
      <c r="O115" s="7"/>
      <c r="P115" s="7"/>
      <c r="Q115" s="7"/>
      <c r="R115" s="7"/>
      <c r="S115" s="7"/>
      <c r="T115" s="7"/>
      <c r="U115" s="7"/>
      <c r="V115" s="7"/>
    </row>
    <row r="116" spans="1:22" ht="6" customHeight="1">
      <c r="A116" s="7"/>
      <c r="B116" s="7"/>
      <c r="C116" s="8"/>
      <c r="D116" s="66"/>
      <c r="E116" s="7"/>
      <c r="F116" s="7"/>
      <c r="G116" s="7"/>
      <c r="H116" s="7"/>
      <c r="I116" s="7"/>
      <c r="J116" s="7"/>
      <c r="K116" s="7"/>
      <c r="L116" s="7"/>
      <c r="M116" s="7"/>
      <c r="N116" s="7"/>
      <c r="O116" s="7"/>
      <c r="P116" s="7"/>
      <c r="Q116" s="7"/>
      <c r="R116" s="7"/>
      <c r="S116" s="7"/>
      <c r="T116" s="7"/>
      <c r="U116" s="7"/>
      <c r="V116" s="7"/>
    </row>
    <row r="117" spans="1:22" ht="12.75" customHeight="1">
      <c r="A117" s="7"/>
      <c r="B117" s="7"/>
      <c r="C117" s="8"/>
      <c r="D117" s="66"/>
      <c r="E117" s="7"/>
      <c r="F117" s="7"/>
      <c r="G117" s="7"/>
      <c r="H117" s="7"/>
      <c r="I117" s="7"/>
      <c r="J117" s="7"/>
      <c r="K117" s="7"/>
      <c r="L117" s="7"/>
      <c r="M117" s="7"/>
      <c r="N117" s="7"/>
      <c r="O117" s="7"/>
      <c r="P117" s="7"/>
      <c r="Q117" s="7"/>
      <c r="R117" s="7"/>
      <c r="S117" s="7"/>
      <c r="T117" s="7"/>
      <c r="U117" s="7"/>
      <c r="V117" s="7"/>
    </row>
    <row r="118" spans="1:22" ht="12.75" customHeight="1">
      <c r="A118" s="7"/>
      <c r="B118" s="7"/>
      <c r="C118" s="8"/>
      <c r="D118" s="66"/>
      <c r="E118" s="7"/>
      <c r="F118" s="7"/>
      <c r="G118" s="7"/>
      <c r="H118" s="7"/>
      <c r="I118" s="7"/>
      <c r="J118" s="7"/>
      <c r="K118" s="7"/>
      <c r="L118" s="7"/>
      <c r="M118" s="7"/>
      <c r="N118" s="7"/>
      <c r="O118" s="7"/>
      <c r="P118" s="7"/>
      <c r="Q118" s="7"/>
      <c r="R118" s="7"/>
      <c r="S118" s="7"/>
      <c r="T118" s="7"/>
      <c r="U118" s="7"/>
      <c r="V118" s="7"/>
    </row>
    <row r="119" spans="1:22" ht="12.75" customHeight="1">
      <c r="A119" s="7"/>
      <c r="B119" s="7"/>
      <c r="C119" s="8"/>
      <c r="D119" s="66"/>
      <c r="E119" s="7"/>
      <c r="F119" s="7"/>
      <c r="G119" s="7"/>
      <c r="H119" s="7"/>
      <c r="I119" s="7"/>
      <c r="J119" s="7"/>
      <c r="K119" s="7"/>
      <c r="L119" s="7"/>
      <c r="M119" s="7"/>
      <c r="N119" s="7"/>
      <c r="O119" s="7"/>
      <c r="P119" s="7"/>
      <c r="Q119" s="7"/>
      <c r="R119" s="7"/>
      <c r="S119" s="7"/>
      <c r="T119" s="7"/>
      <c r="U119" s="7"/>
      <c r="V119" s="7"/>
    </row>
    <row r="120" spans="1:22" ht="12.75" customHeight="1">
      <c r="A120" s="7"/>
      <c r="B120" s="7"/>
      <c r="C120" s="8"/>
      <c r="D120" s="66"/>
      <c r="E120" s="7"/>
      <c r="F120" s="7"/>
      <c r="G120" s="7"/>
      <c r="H120" s="7"/>
      <c r="I120" s="7"/>
      <c r="J120" s="7"/>
      <c r="K120" s="7"/>
      <c r="L120" s="7"/>
      <c r="M120" s="7"/>
      <c r="N120" s="7"/>
      <c r="O120" s="7"/>
      <c r="P120" s="7"/>
      <c r="Q120" s="7"/>
      <c r="R120" s="7"/>
      <c r="S120" s="7"/>
      <c r="T120" s="7"/>
      <c r="U120" s="7"/>
      <c r="V120" s="7"/>
    </row>
    <row r="121" spans="1:22" ht="12.75" customHeight="1">
      <c r="A121" s="7"/>
      <c r="B121" s="7"/>
      <c r="C121" s="8"/>
      <c r="D121" s="66"/>
      <c r="E121" s="7"/>
      <c r="F121" s="7"/>
      <c r="G121" s="7"/>
      <c r="H121" s="7"/>
      <c r="I121" s="7"/>
      <c r="J121" s="7"/>
      <c r="K121" s="7"/>
      <c r="L121" s="7"/>
      <c r="M121" s="7"/>
      <c r="N121" s="7"/>
      <c r="O121" s="7"/>
      <c r="P121" s="7"/>
      <c r="Q121" s="7"/>
      <c r="R121" s="7"/>
      <c r="S121" s="7"/>
      <c r="T121" s="7"/>
      <c r="U121" s="7"/>
      <c r="V121" s="7"/>
    </row>
    <row r="122" spans="1:22" ht="12.75" customHeight="1">
      <c r="A122" s="7"/>
      <c r="B122" s="7"/>
      <c r="C122" s="8"/>
      <c r="D122" s="66"/>
      <c r="E122" s="7"/>
      <c r="F122" s="7"/>
      <c r="G122" s="7"/>
      <c r="H122" s="7"/>
      <c r="I122" s="7"/>
      <c r="J122" s="7"/>
      <c r="K122" s="7"/>
      <c r="L122" s="7"/>
      <c r="M122" s="7"/>
      <c r="N122" s="7"/>
      <c r="O122" s="7"/>
      <c r="P122" s="7"/>
      <c r="Q122" s="7"/>
      <c r="R122" s="7"/>
      <c r="S122" s="7"/>
      <c r="T122" s="7"/>
      <c r="U122" s="7"/>
      <c r="V122" s="7"/>
    </row>
    <row r="123" spans="1:22" ht="12.75" customHeight="1">
      <c r="A123" s="7"/>
      <c r="B123" s="7"/>
      <c r="C123" s="8"/>
      <c r="D123" s="66"/>
      <c r="E123" s="7"/>
      <c r="F123" s="7"/>
      <c r="G123" s="7"/>
      <c r="H123" s="7"/>
      <c r="I123" s="7"/>
      <c r="J123" s="7"/>
      <c r="K123" s="7"/>
      <c r="L123" s="7"/>
      <c r="M123" s="7"/>
      <c r="N123" s="7"/>
      <c r="O123" s="7"/>
      <c r="P123" s="7"/>
      <c r="Q123" s="7"/>
      <c r="R123" s="7"/>
      <c r="S123" s="7"/>
      <c r="T123" s="7"/>
      <c r="U123" s="7"/>
      <c r="V123" s="7"/>
    </row>
    <row r="124" spans="1:22" ht="12.75" customHeight="1">
      <c r="A124" s="7"/>
      <c r="B124" s="7"/>
      <c r="C124" s="8"/>
      <c r="D124" s="66"/>
      <c r="E124" s="7"/>
      <c r="F124" s="7"/>
      <c r="G124" s="7"/>
      <c r="H124" s="7"/>
      <c r="I124" s="7"/>
      <c r="J124" s="7"/>
      <c r="K124" s="7"/>
      <c r="L124" s="7"/>
      <c r="M124" s="7"/>
      <c r="N124" s="7"/>
      <c r="O124" s="7"/>
      <c r="P124" s="7"/>
      <c r="Q124" s="7"/>
      <c r="R124" s="7"/>
      <c r="S124" s="7"/>
      <c r="T124" s="7"/>
      <c r="U124" s="7"/>
      <c r="V124" s="7"/>
    </row>
    <row r="125" spans="1:22" ht="12.75" customHeight="1">
      <c r="A125" s="7"/>
      <c r="B125" s="7"/>
      <c r="C125" s="8"/>
      <c r="D125" s="66"/>
      <c r="E125" s="7"/>
      <c r="F125" s="7"/>
      <c r="G125" s="7"/>
      <c r="H125" s="7"/>
      <c r="I125" s="7"/>
      <c r="J125" s="7"/>
      <c r="K125" s="7"/>
      <c r="L125" s="7"/>
      <c r="M125" s="7"/>
      <c r="N125" s="7"/>
      <c r="O125" s="7"/>
      <c r="P125" s="7"/>
      <c r="Q125" s="7"/>
      <c r="R125" s="7"/>
      <c r="S125" s="7"/>
      <c r="T125" s="7"/>
      <c r="U125" s="7"/>
      <c r="V125" s="7"/>
    </row>
    <row r="126" spans="1:22" ht="12.75" customHeight="1">
      <c r="A126" s="7"/>
      <c r="B126" s="7"/>
      <c r="C126" s="8"/>
      <c r="D126" s="66"/>
      <c r="E126" s="7"/>
      <c r="F126" s="7"/>
      <c r="G126" s="7"/>
      <c r="H126" s="7"/>
      <c r="I126" s="7"/>
      <c r="J126" s="7"/>
      <c r="K126" s="7"/>
      <c r="L126" s="7"/>
      <c r="M126" s="7"/>
      <c r="N126" s="7"/>
      <c r="O126" s="7"/>
      <c r="P126" s="7"/>
      <c r="Q126" s="7"/>
      <c r="R126" s="7"/>
      <c r="S126" s="7"/>
      <c r="T126" s="7"/>
      <c r="U126" s="7"/>
      <c r="V126" s="7"/>
    </row>
    <row r="127" spans="1:22" ht="12.75" customHeight="1">
      <c r="A127" s="7"/>
      <c r="B127" s="7"/>
      <c r="C127" s="8"/>
      <c r="D127" s="66"/>
      <c r="E127" s="7"/>
      <c r="F127" s="7"/>
      <c r="G127" s="7"/>
      <c r="H127" s="7"/>
      <c r="I127" s="7"/>
      <c r="J127" s="7"/>
      <c r="K127" s="7"/>
      <c r="L127" s="7"/>
      <c r="M127" s="7"/>
      <c r="N127" s="7"/>
      <c r="O127" s="7"/>
      <c r="P127" s="7"/>
      <c r="Q127" s="7"/>
      <c r="R127" s="7"/>
      <c r="S127" s="7"/>
      <c r="T127" s="7"/>
      <c r="U127" s="7"/>
      <c r="V127" s="7"/>
    </row>
    <row r="128" spans="1:22" ht="12.75" customHeight="1">
      <c r="A128" s="7"/>
      <c r="B128" s="7"/>
      <c r="C128" s="8"/>
      <c r="D128" s="66"/>
      <c r="E128" s="7"/>
      <c r="F128" s="7"/>
      <c r="G128" s="7"/>
      <c r="H128" s="7"/>
      <c r="I128" s="7"/>
      <c r="J128" s="7"/>
      <c r="K128" s="7"/>
      <c r="L128" s="7"/>
      <c r="M128" s="7"/>
      <c r="N128" s="7"/>
      <c r="O128" s="7"/>
      <c r="P128" s="7"/>
      <c r="Q128" s="7"/>
      <c r="R128" s="7"/>
      <c r="S128" s="7"/>
      <c r="T128" s="7"/>
      <c r="U128" s="7"/>
      <c r="V128" s="7"/>
    </row>
    <row r="129" spans="1:22" ht="12.75" customHeight="1">
      <c r="A129" s="7"/>
      <c r="B129" s="7"/>
      <c r="C129" s="8"/>
      <c r="D129" s="66"/>
      <c r="E129" s="7"/>
      <c r="F129" s="7"/>
      <c r="G129" s="7"/>
      <c r="H129" s="7"/>
      <c r="I129" s="7"/>
      <c r="J129" s="7"/>
      <c r="K129" s="7"/>
      <c r="L129" s="7"/>
      <c r="M129" s="7"/>
      <c r="N129" s="7"/>
      <c r="O129" s="7"/>
      <c r="P129" s="7"/>
      <c r="Q129" s="7"/>
      <c r="R129" s="7"/>
      <c r="S129" s="7"/>
      <c r="T129" s="7"/>
      <c r="U129" s="7"/>
      <c r="V129" s="7"/>
    </row>
    <row r="130" spans="1:22" ht="12.75" customHeight="1">
      <c r="A130" s="7"/>
      <c r="B130" s="7"/>
      <c r="C130" s="8"/>
      <c r="D130" s="66"/>
      <c r="E130" s="7"/>
      <c r="F130" s="7"/>
      <c r="G130" s="7"/>
      <c r="H130" s="7"/>
      <c r="I130" s="7"/>
      <c r="J130" s="7"/>
      <c r="K130" s="7"/>
      <c r="L130" s="7"/>
      <c r="M130" s="7"/>
      <c r="N130" s="7"/>
      <c r="O130" s="7"/>
      <c r="P130" s="7"/>
      <c r="Q130" s="7"/>
      <c r="R130" s="7"/>
      <c r="S130" s="7"/>
      <c r="T130" s="7"/>
      <c r="U130" s="7"/>
      <c r="V130" s="7"/>
    </row>
    <row r="131" spans="1:22" ht="12.75" customHeight="1">
      <c r="A131" s="7"/>
      <c r="B131" s="7"/>
      <c r="C131" s="8"/>
      <c r="D131" s="66"/>
      <c r="E131" s="7"/>
      <c r="F131" s="7"/>
      <c r="G131" s="7"/>
      <c r="H131" s="7"/>
      <c r="I131" s="7"/>
      <c r="J131" s="7"/>
      <c r="K131" s="7"/>
      <c r="L131" s="7"/>
      <c r="M131" s="7"/>
      <c r="N131" s="7"/>
      <c r="O131" s="7"/>
      <c r="P131" s="7"/>
      <c r="Q131" s="7"/>
      <c r="R131" s="7"/>
      <c r="S131" s="7"/>
      <c r="T131" s="7"/>
      <c r="U131" s="7"/>
      <c r="V131" s="7"/>
    </row>
    <row r="132" spans="1:22" ht="12.75" customHeight="1">
      <c r="A132" s="7"/>
      <c r="B132" s="7"/>
      <c r="C132" s="8"/>
      <c r="D132" s="66"/>
      <c r="E132" s="7"/>
      <c r="F132" s="7"/>
      <c r="G132" s="7"/>
      <c r="H132" s="7"/>
      <c r="I132" s="7"/>
      <c r="J132" s="7"/>
      <c r="K132" s="7"/>
      <c r="L132" s="7"/>
      <c r="M132" s="7"/>
      <c r="N132" s="7"/>
      <c r="O132" s="7"/>
      <c r="P132" s="7"/>
      <c r="Q132" s="7"/>
      <c r="R132" s="7"/>
      <c r="S132" s="7"/>
      <c r="T132" s="7"/>
      <c r="U132" s="7"/>
      <c r="V132" s="7"/>
    </row>
    <row r="133" spans="1:22" ht="12.75" customHeight="1">
      <c r="A133" s="7"/>
      <c r="B133" s="7"/>
      <c r="C133" s="8"/>
      <c r="D133" s="66"/>
      <c r="E133" s="7"/>
      <c r="F133" s="7"/>
      <c r="G133" s="7"/>
      <c r="H133" s="7"/>
      <c r="I133" s="7"/>
      <c r="J133" s="7"/>
      <c r="K133" s="7"/>
      <c r="L133" s="7"/>
      <c r="M133" s="7"/>
      <c r="N133" s="7"/>
      <c r="O133" s="7"/>
      <c r="P133" s="7"/>
      <c r="Q133" s="7"/>
      <c r="R133" s="7"/>
      <c r="S133" s="7"/>
      <c r="T133" s="7"/>
      <c r="U133" s="7"/>
      <c r="V133" s="7"/>
    </row>
    <row r="134" spans="1:22" ht="12.75" customHeight="1">
      <c r="A134" s="7"/>
      <c r="B134" s="7"/>
      <c r="C134" s="8"/>
      <c r="D134" s="66"/>
      <c r="E134" s="7"/>
      <c r="F134" s="7"/>
      <c r="G134" s="7"/>
      <c r="H134" s="7"/>
      <c r="I134" s="7"/>
      <c r="J134" s="7"/>
      <c r="K134" s="7"/>
      <c r="L134" s="7"/>
      <c r="M134" s="7"/>
      <c r="N134" s="7"/>
      <c r="O134" s="7"/>
      <c r="P134" s="7"/>
      <c r="Q134" s="7"/>
      <c r="R134" s="7"/>
      <c r="S134" s="7"/>
      <c r="T134" s="7"/>
      <c r="U134" s="7"/>
      <c r="V134" s="7"/>
    </row>
    <row r="135" spans="1:22" ht="12.75" customHeight="1">
      <c r="A135" s="7"/>
      <c r="B135" s="7"/>
      <c r="C135" s="8"/>
      <c r="D135" s="66"/>
      <c r="E135" s="7"/>
      <c r="F135" s="7"/>
      <c r="G135" s="7"/>
      <c r="H135" s="7"/>
      <c r="I135" s="7"/>
      <c r="J135" s="7"/>
      <c r="K135" s="7"/>
      <c r="L135" s="7"/>
      <c r="M135" s="7"/>
      <c r="N135" s="7"/>
      <c r="O135" s="7"/>
      <c r="P135" s="7"/>
      <c r="Q135" s="7"/>
      <c r="R135" s="7"/>
      <c r="S135" s="7"/>
      <c r="T135" s="7"/>
      <c r="U135" s="7"/>
      <c r="V135" s="7"/>
    </row>
    <row r="136" spans="1:22" ht="12.75" customHeight="1">
      <c r="A136" s="7"/>
      <c r="B136" s="7"/>
      <c r="C136" s="8"/>
      <c r="D136" s="66"/>
      <c r="E136" s="7"/>
      <c r="F136" s="7"/>
      <c r="G136" s="7"/>
      <c r="H136" s="7"/>
      <c r="I136" s="7"/>
      <c r="J136" s="7"/>
      <c r="K136" s="7"/>
      <c r="L136" s="7"/>
      <c r="M136" s="7"/>
      <c r="N136" s="7"/>
      <c r="O136" s="7"/>
      <c r="P136" s="7"/>
      <c r="Q136" s="7"/>
      <c r="R136" s="7"/>
      <c r="S136" s="7"/>
      <c r="T136" s="7"/>
      <c r="U136" s="7"/>
      <c r="V136" s="7"/>
    </row>
    <row r="137" spans="1:22" ht="12.75" customHeight="1">
      <c r="A137" s="7"/>
      <c r="B137" s="7"/>
      <c r="C137" s="8"/>
      <c r="D137" s="66"/>
      <c r="E137" s="7"/>
      <c r="F137" s="7"/>
      <c r="G137" s="7"/>
      <c r="H137" s="7"/>
      <c r="I137" s="7"/>
      <c r="J137" s="7"/>
      <c r="K137" s="7"/>
      <c r="L137" s="7"/>
      <c r="M137" s="7"/>
      <c r="N137" s="7"/>
      <c r="O137" s="7"/>
      <c r="P137" s="7"/>
      <c r="Q137" s="7"/>
      <c r="R137" s="7"/>
      <c r="S137" s="7"/>
      <c r="T137" s="7"/>
      <c r="U137" s="7"/>
      <c r="V137" s="7"/>
    </row>
    <row r="138" spans="1:22" ht="12.75" customHeight="1">
      <c r="A138" s="7"/>
      <c r="B138" s="7"/>
      <c r="C138" s="8"/>
      <c r="D138" s="66"/>
      <c r="E138" s="7"/>
      <c r="F138" s="7"/>
      <c r="G138" s="7"/>
      <c r="H138" s="7"/>
      <c r="I138" s="7"/>
      <c r="J138" s="7"/>
      <c r="K138" s="7"/>
      <c r="L138" s="7"/>
      <c r="M138" s="7"/>
      <c r="N138" s="7"/>
      <c r="O138" s="7"/>
      <c r="P138" s="7"/>
      <c r="Q138" s="7"/>
      <c r="R138" s="7"/>
      <c r="S138" s="7"/>
      <c r="T138" s="7"/>
      <c r="U138" s="7"/>
      <c r="V138" s="7"/>
    </row>
    <row r="139" spans="1:22" ht="12.75" customHeight="1">
      <c r="A139" s="7"/>
      <c r="B139" s="7"/>
      <c r="C139" s="8"/>
      <c r="D139" s="66"/>
      <c r="E139" s="7"/>
      <c r="F139" s="7"/>
      <c r="G139" s="7"/>
      <c r="H139" s="7"/>
      <c r="I139" s="7"/>
      <c r="J139" s="7"/>
      <c r="K139" s="7"/>
      <c r="L139" s="7"/>
      <c r="M139" s="7"/>
      <c r="N139" s="7"/>
      <c r="O139" s="7"/>
      <c r="P139" s="7"/>
      <c r="Q139" s="7"/>
      <c r="R139" s="7"/>
      <c r="S139" s="7"/>
      <c r="T139" s="7"/>
      <c r="U139" s="7"/>
      <c r="V139" s="7"/>
    </row>
    <row r="140" spans="1:22" ht="12.75" customHeight="1">
      <c r="A140" s="7"/>
      <c r="B140" s="7"/>
      <c r="C140" s="8"/>
      <c r="D140" s="66"/>
      <c r="E140" s="7"/>
      <c r="F140" s="7"/>
      <c r="G140" s="7"/>
      <c r="H140" s="7"/>
      <c r="I140" s="7"/>
      <c r="J140" s="7"/>
      <c r="K140" s="7"/>
      <c r="L140" s="7"/>
      <c r="M140" s="7"/>
      <c r="N140" s="7"/>
      <c r="O140" s="7"/>
      <c r="P140" s="7"/>
      <c r="Q140" s="7"/>
      <c r="R140" s="7"/>
      <c r="S140" s="7"/>
      <c r="T140" s="7"/>
      <c r="U140" s="7"/>
      <c r="V140" s="7"/>
    </row>
    <row r="141" spans="1:22" ht="12.75" customHeight="1">
      <c r="A141" s="7"/>
      <c r="B141" s="7"/>
      <c r="C141" s="8"/>
      <c r="D141" s="66"/>
      <c r="E141" s="7"/>
      <c r="F141" s="7"/>
      <c r="G141" s="7"/>
      <c r="H141" s="7"/>
      <c r="I141" s="7"/>
      <c r="J141" s="7"/>
      <c r="K141" s="7"/>
      <c r="L141" s="7"/>
      <c r="M141" s="7"/>
      <c r="N141" s="7"/>
      <c r="O141" s="7"/>
      <c r="P141" s="7"/>
      <c r="Q141" s="7"/>
      <c r="R141" s="7"/>
      <c r="S141" s="7"/>
      <c r="T141" s="7"/>
      <c r="U141" s="7"/>
      <c r="V141" s="7"/>
    </row>
    <row r="142" spans="1:22" ht="12.75" customHeight="1">
      <c r="A142" s="7"/>
      <c r="B142" s="7"/>
      <c r="C142" s="8"/>
      <c r="D142" s="66"/>
      <c r="E142" s="7"/>
      <c r="F142" s="7"/>
      <c r="G142" s="7"/>
      <c r="H142" s="7"/>
      <c r="I142" s="7"/>
      <c r="J142" s="7"/>
      <c r="K142" s="7"/>
      <c r="L142" s="7"/>
      <c r="M142" s="7"/>
      <c r="N142" s="7"/>
      <c r="O142" s="7"/>
      <c r="P142" s="7"/>
      <c r="Q142" s="7"/>
      <c r="R142" s="7"/>
      <c r="S142" s="7"/>
      <c r="T142" s="7"/>
      <c r="U142" s="7"/>
      <c r="V142" s="7"/>
    </row>
    <row r="143" spans="1:22" ht="12.75" customHeight="1">
      <c r="A143" s="7"/>
      <c r="B143" s="7"/>
      <c r="C143" s="8"/>
      <c r="D143" s="66"/>
      <c r="E143" s="7"/>
      <c r="F143" s="7"/>
      <c r="G143" s="7"/>
      <c r="H143" s="7"/>
      <c r="I143" s="7"/>
      <c r="J143" s="7"/>
      <c r="K143" s="7"/>
      <c r="L143" s="7"/>
      <c r="M143" s="7"/>
      <c r="N143" s="7"/>
      <c r="O143" s="7"/>
      <c r="P143" s="7"/>
      <c r="Q143" s="7"/>
      <c r="R143" s="7"/>
      <c r="S143" s="7"/>
      <c r="T143" s="7"/>
      <c r="U143" s="7"/>
      <c r="V143" s="7"/>
    </row>
    <row r="144" spans="1:22" ht="12.75" customHeight="1">
      <c r="A144" s="7"/>
      <c r="B144" s="7"/>
      <c r="C144" s="8"/>
      <c r="D144" s="66"/>
      <c r="E144" s="7"/>
      <c r="F144" s="7"/>
      <c r="G144" s="7"/>
      <c r="H144" s="7"/>
      <c r="I144" s="7"/>
      <c r="J144" s="7"/>
      <c r="K144" s="7"/>
      <c r="L144" s="7"/>
      <c r="M144" s="7"/>
      <c r="N144" s="7"/>
      <c r="O144" s="7"/>
      <c r="P144" s="7"/>
      <c r="Q144" s="7"/>
      <c r="R144" s="7"/>
      <c r="S144" s="7"/>
      <c r="T144" s="7"/>
      <c r="U144" s="7"/>
      <c r="V144" s="7"/>
    </row>
    <row r="145" spans="1:22" ht="12.75" customHeight="1">
      <c r="A145" s="7"/>
      <c r="B145" s="7"/>
      <c r="C145" s="8"/>
      <c r="D145" s="66"/>
      <c r="E145" s="7"/>
      <c r="F145" s="7"/>
      <c r="G145" s="7"/>
      <c r="H145" s="7"/>
      <c r="I145" s="7"/>
      <c r="J145" s="7"/>
      <c r="K145" s="7"/>
      <c r="L145" s="7"/>
      <c r="M145" s="7"/>
      <c r="N145" s="7"/>
      <c r="O145" s="7"/>
      <c r="P145" s="7"/>
      <c r="Q145" s="7"/>
      <c r="R145" s="7"/>
      <c r="S145" s="7"/>
      <c r="T145" s="7"/>
      <c r="U145" s="7"/>
      <c r="V145" s="7"/>
    </row>
    <row r="146" spans="1:22" ht="12.75" customHeight="1">
      <c r="A146" s="7"/>
      <c r="B146" s="7"/>
      <c r="C146" s="8"/>
      <c r="D146" s="66"/>
      <c r="E146" s="7"/>
      <c r="F146" s="7"/>
      <c r="G146" s="7"/>
      <c r="H146" s="7"/>
      <c r="I146" s="7"/>
      <c r="J146" s="7"/>
      <c r="K146" s="7"/>
      <c r="L146" s="7"/>
      <c r="M146" s="7"/>
      <c r="N146" s="7"/>
      <c r="O146" s="7"/>
      <c r="P146" s="7"/>
      <c r="Q146" s="7"/>
      <c r="R146" s="7"/>
      <c r="S146" s="7"/>
      <c r="T146" s="7"/>
      <c r="U146" s="7"/>
      <c r="V146" s="7"/>
    </row>
    <row r="147" spans="1:22" ht="12.75" customHeight="1">
      <c r="A147" s="7"/>
      <c r="B147" s="7"/>
      <c r="C147" s="8"/>
      <c r="D147" s="66"/>
      <c r="E147" s="7"/>
      <c r="F147" s="7"/>
      <c r="G147" s="7"/>
      <c r="H147" s="7"/>
      <c r="I147" s="7"/>
      <c r="J147" s="7"/>
      <c r="K147" s="7"/>
      <c r="L147" s="7"/>
      <c r="M147" s="7"/>
      <c r="N147" s="7"/>
      <c r="O147" s="7"/>
      <c r="P147" s="7"/>
      <c r="Q147" s="7"/>
      <c r="R147" s="7"/>
      <c r="S147" s="7"/>
      <c r="T147" s="7"/>
      <c r="U147" s="7"/>
      <c r="V147" s="7"/>
    </row>
    <row r="148" spans="1:22" ht="12.75" customHeight="1">
      <c r="A148" s="7"/>
      <c r="B148" s="7"/>
      <c r="C148" s="8"/>
      <c r="D148" s="66"/>
      <c r="E148" s="7"/>
      <c r="F148" s="7"/>
      <c r="G148" s="7"/>
      <c r="H148" s="7"/>
      <c r="I148" s="7"/>
      <c r="J148" s="7"/>
      <c r="K148" s="7"/>
      <c r="L148" s="7"/>
      <c r="M148" s="7"/>
      <c r="N148" s="7"/>
      <c r="O148" s="7"/>
      <c r="P148" s="7"/>
      <c r="Q148" s="7"/>
      <c r="R148" s="7"/>
      <c r="S148" s="7"/>
      <c r="T148" s="7"/>
      <c r="U148" s="7"/>
      <c r="V148" s="7"/>
    </row>
    <row r="149" spans="1:22" ht="12.75" customHeight="1">
      <c r="A149" s="7"/>
      <c r="B149" s="7"/>
      <c r="C149" s="8"/>
      <c r="D149" s="66"/>
      <c r="E149" s="7"/>
      <c r="F149" s="7"/>
      <c r="G149" s="7"/>
      <c r="H149" s="7"/>
      <c r="I149" s="7"/>
      <c r="J149" s="7"/>
      <c r="K149" s="7"/>
      <c r="L149" s="7"/>
      <c r="M149" s="7"/>
      <c r="N149" s="7"/>
      <c r="O149" s="7"/>
      <c r="P149" s="7"/>
      <c r="Q149" s="7"/>
      <c r="R149" s="7"/>
      <c r="S149" s="7"/>
      <c r="T149" s="7"/>
      <c r="U149" s="7"/>
      <c r="V149" s="7"/>
    </row>
    <row r="150" spans="1:22" ht="12.75" customHeight="1">
      <c r="A150" s="7"/>
      <c r="B150" s="7"/>
      <c r="C150" s="8"/>
      <c r="D150" s="66"/>
      <c r="E150" s="7"/>
      <c r="F150" s="7"/>
      <c r="G150" s="7"/>
      <c r="H150" s="7"/>
      <c r="I150" s="7"/>
      <c r="J150" s="7"/>
      <c r="K150" s="7"/>
      <c r="L150" s="7"/>
      <c r="M150" s="7"/>
      <c r="N150" s="7"/>
      <c r="O150" s="7"/>
      <c r="P150" s="7"/>
      <c r="Q150" s="7"/>
      <c r="R150" s="7"/>
      <c r="S150" s="7"/>
      <c r="T150" s="7"/>
      <c r="U150" s="7"/>
      <c r="V150" s="7"/>
    </row>
    <row r="151" spans="1:22" ht="12.75" customHeight="1">
      <c r="A151" s="7"/>
      <c r="B151" s="7"/>
      <c r="C151" s="8"/>
      <c r="D151" s="66"/>
      <c r="E151" s="7"/>
      <c r="F151" s="7"/>
      <c r="G151" s="7"/>
      <c r="H151" s="7"/>
      <c r="I151" s="7"/>
      <c r="J151" s="7"/>
      <c r="K151" s="7"/>
      <c r="L151" s="7"/>
      <c r="M151" s="7"/>
      <c r="N151" s="7"/>
      <c r="O151" s="7"/>
      <c r="P151" s="7"/>
      <c r="Q151" s="7"/>
      <c r="R151" s="7"/>
      <c r="S151" s="7"/>
      <c r="T151" s="7"/>
      <c r="U151" s="7"/>
      <c r="V151" s="7"/>
    </row>
    <row r="152" spans="1:22" ht="12.75" customHeight="1">
      <c r="A152" s="7"/>
      <c r="B152" s="7"/>
      <c r="C152" s="8"/>
      <c r="D152" s="66"/>
      <c r="E152" s="7"/>
      <c r="F152" s="7"/>
      <c r="G152" s="7"/>
      <c r="H152" s="7"/>
      <c r="I152" s="7"/>
      <c r="J152" s="7"/>
      <c r="K152" s="7"/>
      <c r="L152" s="7"/>
      <c r="M152" s="7"/>
      <c r="N152" s="7"/>
      <c r="O152" s="7"/>
      <c r="P152" s="7"/>
      <c r="Q152" s="7"/>
      <c r="R152" s="7"/>
      <c r="S152" s="7"/>
      <c r="T152" s="7"/>
      <c r="U152" s="7"/>
      <c r="V152" s="7"/>
    </row>
    <row r="153" spans="1:22" ht="12.75" customHeight="1">
      <c r="A153" s="7"/>
      <c r="B153" s="7"/>
      <c r="C153" s="8"/>
      <c r="D153" s="66"/>
      <c r="E153" s="7"/>
      <c r="F153" s="7"/>
      <c r="G153" s="7"/>
      <c r="H153" s="7"/>
      <c r="I153" s="7"/>
      <c r="J153" s="7"/>
      <c r="K153" s="7"/>
      <c r="L153" s="7"/>
      <c r="M153" s="7"/>
      <c r="N153" s="7"/>
      <c r="O153" s="7"/>
      <c r="P153" s="7"/>
      <c r="Q153" s="7"/>
      <c r="R153" s="7"/>
      <c r="S153" s="7"/>
      <c r="T153" s="7"/>
      <c r="U153" s="7"/>
      <c r="V153" s="7"/>
    </row>
    <row r="154" spans="1:22" ht="12.75" customHeight="1">
      <c r="A154" s="7"/>
      <c r="B154" s="7"/>
      <c r="C154" s="8"/>
      <c r="D154" s="66"/>
      <c r="E154" s="7"/>
      <c r="F154" s="7"/>
      <c r="G154" s="7"/>
      <c r="H154" s="7"/>
      <c r="I154" s="7"/>
      <c r="J154" s="7"/>
      <c r="K154" s="7"/>
      <c r="L154" s="7"/>
      <c r="M154" s="7"/>
      <c r="N154" s="7"/>
      <c r="O154" s="7"/>
      <c r="P154" s="7"/>
      <c r="Q154" s="7"/>
      <c r="R154" s="7"/>
      <c r="S154" s="7"/>
      <c r="T154" s="7"/>
      <c r="U154" s="7"/>
      <c r="V154" s="7"/>
    </row>
    <row r="155" spans="1:22" ht="12.75" customHeight="1">
      <c r="A155" s="7"/>
      <c r="B155" s="7"/>
      <c r="C155" s="8"/>
      <c r="D155" s="66"/>
      <c r="E155" s="7"/>
      <c r="F155" s="7"/>
      <c r="G155" s="7"/>
      <c r="H155" s="7"/>
      <c r="I155" s="7"/>
      <c r="J155" s="7"/>
      <c r="K155" s="7"/>
      <c r="L155" s="7"/>
      <c r="M155" s="7"/>
      <c r="N155" s="7"/>
      <c r="O155" s="7"/>
      <c r="P155" s="7"/>
      <c r="Q155" s="7"/>
      <c r="R155" s="7"/>
      <c r="S155" s="7"/>
      <c r="T155" s="7"/>
      <c r="U155" s="7"/>
      <c r="V155" s="7"/>
    </row>
    <row r="156" spans="1:22" ht="12.75" customHeight="1">
      <c r="A156" s="7"/>
      <c r="B156" s="7"/>
      <c r="C156" s="8"/>
      <c r="D156" s="66"/>
      <c r="E156" s="7"/>
      <c r="F156" s="7"/>
      <c r="G156" s="7"/>
      <c r="H156" s="7"/>
      <c r="I156" s="7"/>
      <c r="J156" s="7"/>
      <c r="K156" s="7"/>
      <c r="L156" s="7"/>
      <c r="M156" s="7"/>
      <c r="N156" s="7"/>
      <c r="O156" s="7"/>
      <c r="P156" s="7"/>
      <c r="Q156" s="7"/>
      <c r="R156" s="7"/>
      <c r="S156" s="7"/>
      <c r="T156" s="7"/>
      <c r="U156" s="7"/>
      <c r="V156" s="7"/>
    </row>
    <row r="157" spans="1:22" ht="12.75" customHeight="1">
      <c r="A157" s="7"/>
      <c r="B157" s="7"/>
      <c r="C157" s="8"/>
      <c r="D157" s="66"/>
      <c r="E157" s="7"/>
      <c r="F157" s="7"/>
      <c r="G157" s="7"/>
      <c r="H157" s="7"/>
      <c r="I157" s="7"/>
      <c r="J157" s="7"/>
      <c r="K157" s="7"/>
      <c r="L157" s="7"/>
      <c r="M157" s="7"/>
      <c r="N157" s="7"/>
      <c r="O157" s="7"/>
      <c r="P157" s="7"/>
      <c r="Q157" s="7"/>
      <c r="R157" s="7"/>
      <c r="S157" s="7"/>
      <c r="T157" s="7"/>
      <c r="U157" s="7"/>
      <c r="V157" s="7"/>
    </row>
    <row r="158" spans="1:22" ht="12.75" customHeight="1">
      <c r="A158" s="7"/>
      <c r="B158" s="7"/>
      <c r="C158" s="8"/>
      <c r="D158" s="66"/>
      <c r="E158" s="7"/>
      <c r="F158" s="7"/>
      <c r="G158" s="7"/>
      <c r="H158" s="7"/>
      <c r="I158" s="7"/>
      <c r="J158" s="7"/>
      <c r="K158" s="7"/>
      <c r="L158" s="7"/>
      <c r="M158" s="7"/>
      <c r="N158" s="7"/>
      <c r="O158" s="7"/>
      <c r="P158" s="7"/>
      <c r="Q158" s="7"/>
      <c r="R158" s="7"/>
      <c r="S158" s="7"/>
      <c r="T158" s="7"/>
      <c r="U158" s="7"/>
      <c r="V158" s="7"/>
    </row>
    <row r="159" spans="1:22" ht="12.75" customHeight="1">
      <c r="A159" s="7"/>
      <c r="B159" s="7"/>
      <c r="C159" s="8"/>
      <c r="D159" s="66"/>
      <c r="E159" s="7"/>
      <c r="F159" s="7"/>
      <c r="G159" s="7"/>
      <c r="H159" s="7"/>
      <c r="I159" s="7"/>
      <c r="J159" s="7"/>
      <c r="K159" s="7"/>
      <c r="L159" s="7"/>
      <c r="M159" s="7"/>
      <c r="N159" s="7"/>
      <c r="O159" s="7"/>
      <c r="P159" s="7"/>
      <c r="Q159" s="7"/>
      <c r="R159" s="7"/>
      <c r="S159" s="7"/>
      <c r="T159" s="7"/>
      <c r="U159" s="7"/>
      <c r="V159" s="7"/>
    </row>
    <row r="160" spans="1:22" ht="12.75" customHeight="1">
      <c r="A160" s="7"/>
      <c r="B160" s="7"/>
      <c r="C160" s="8"/>
      <c r="D160" s="66"/>
      <c r="E160" s="7"/>
      <c r="F160" s="7"/>
      <c r="G160" s="7"/>
      <c r="H160" s="7"/>
      <c r="I160" s="7"/>
      <c r="J160" s="7"/>
      <c r="K160" s="7"/>
      <c r="L160" s="7"/>
      <c r="M160" s="7"/>
      <c r="N160" s="7"/>
      <c r="O160" s="7"/>
      <c r="P160" s="7"/>
      <c r="Q160" s="7"/>
      <c r="R160" s="7"/>
      <c r="S160" s="7"/>
      <c r="T160" s="7"/>
      <c r="U160" s="7"/>
      <c r="V160" s="7"/>
    </row>
    <row r="161" spans="1:22" ht="12.75" customHeight="1">
      <c r="A161" s="7"/>
      <c r="B161" s="7"/>
      <c r="C161" s="8"/>
      <c r="D161" s="66"/>
      <c r="E161" s="7"/>
      <c r="F161" s="7"/>
      <c r="G161" s="7"/>
      <c r="H161" s="7"/>
      <c r="I161" s="7"/>
      <c r="J161" s="7"/>
      <c r="K161" s="7"/>
      <c r="L161" s="7"/>
      <c r="M161" s="7"/>
      <c r="N161" s="7"/>
      <c r="O161" s="7"/>
      <c r="P161" s="7"/>
      <c r="Q161" s="7"/>
      <c r="R161" s="7"/>
      <c r="S161" s="7"/>
      <c r="T161" s="7"/>
      <c r="U161" s="7"/>
      <c r="V161" s="7"/>
    </row>
    <row r="162" spans="1:22" ht="12.75" customHeight="1">
      <c r="A162" s="7"/>
      <c r="B162" s="7"/>
      <c r="C162" s="8"/>
      <c r="D162" s="66"/>
      <c r="E162" s="7"/>
      <c r="F162" s="7"/>
      <c r="G162" s="7"/>
      <c r="H162" s="7"/>
      <c r="I162" s="7"/>
      <c r="J162" s="7"/>
      <c r="K162" s="7"/>
      <c r="L162" s="7"/>
      <c r="M162" s="7"/>
      <c r="N162" s="7"/>
      <c r="O162" s="7"/>
      <c r="P162" s="7"/>
      <c r="Q162" s="7"/>
      <c r="R162" s="7"/>
      <c r="S162" s="7"/>
      <c r="T162" s="7"/>
      <c r="U162" s="7"/>
      <c r="V162" s="7"/>
    </row>
    <row r="163" spans="1:22" ht="12.75" customHeight="1">
      <c r="A163" s="7"/>
      <c r="B163" s="7"/>
      <c r="C163" s="8"/>
      <c r="D163" s="66"/>
      <c r="E163" s="7"/>
      <c r="F163" s="7"/>
      <c r="G163" s="7"/>
      <c r="H163" s="7"/>
      <c r="I163" s="7"/>
      <c r="J163" s="7"/>
      <c r="K163" s="7"/>
      <c r="L163" s="7"/>
      <c r="M163" s="7"/>
      <c r="N163" s="7"/>
      <c r="O163" s="7"/>
      <c r="P163" s="7"/>
      <c r="Q163" s="7"/>
      <c r="R163" s="7"/>
      <c r="S163" s="7"/>
      <c r="T163" s="7"/>
      <c r="U163" s="7"/>
      <c r="V163" s="7"/>
    </row>
    <row r="164" spans="1:22" ht="12.75" customHeight="1">
      <c r="A164" s="7"/>
      <c r="B164" s="7"/>
      <c r="C164" s="8"/>
      <c r="D164" s="66"/>
      <c r="E164" s="7"/>
      <c r="F164" s="7"/>
      <c r="G164" s="7"/>
      <c r="H164" s="7"/>
      <c r="I164" s="7"/>
      <c r="J164" s="7"/>
      <c r="K164" s="7"/>
      <c r="L164" s="7"/>
      <c r="M164" s="7"/>
      <c r="N164" s="7"/>
      <c r="O164" s="7"/>
      <c r="P164" s="7"/>
      <c r="Q164" s="7"/>
      <c r="R164" s="7"/>
      <c r="S164" s="7"/>
      <c r="T164" s="7"/>
      <c r="U164" s="7"/>
      <c r="V164" s="7"/>
    </row>
    <row r="165" spans="1:22" ht="12.75" customHeight="1">
      <c r="A165" s="7"/>
      <c r="B165" s="7"/>
      <c r="C165" s="8"/>
      <c r="D165" s="66"/>
      <c r="E165" s="7"/>
      <c r="F165" s="7"/>
      <c r="G165" s="7"/>
      <c r="H165" s="7"/>
      <c r="I165" s="7"/>
      <c r="J165" s="7"/>
      <c r="K165" s="7"/>
      <c r="L165" s="7"/>
      <c r="M165" s="7"/>
      <c r="N165" s="7"/>
      <c r="O165" s="7"/>
      <c r="P165" s="7"/>
      <c r="Q165" s="7"/>
      <c r="R165" s="7"/>
      <c r="S165" s="7"/>
      <c r="T165" s="7"/>
      <c r="U165" s="7"/>
      <c r="V165" s="7"/>
    </row>
    <row r="166" spans="1:22" ht="12.75" customHeight="1">
      <c r="A166" s="7"/>
      <c r="B166" s="7"/>
      <c r="C166" s="8"/>
      <c r="D166" s="66"/>
      <c r="E166" s="7"/>
      <c r="F166" s="7"/>
      <c r="G166" s="7"/>
      <c r="H166" s="7"/>
      <c r="I166" s="7"/>
      <c r="J166" s="7"/>
      <c r="K166" s="7"/>
      <c r="L166" s="7"/>
      <c r="M166" s="7"/>
      <c r="N166" s="7"/>
      <c r="O166" s="7"/>
      <c r="P166" s="7"/>
      <c r="Q166" s="7"/>
      <c r="R166" s="7"/>
      <c r="S166" s="7"/>
      <c r="T166" s="7"/>
      <c r="U166" s="7"/>
      <c r="V166" s="7"/>
    </row>
    <row r="167" spans="1:22" ht="12.75" customHeight="1">
      <c r="A167" s="7"/>
      <c r="B167" s="7"/>
      <c r="C167" s="8"/>
      <c r="D167" s="66"/>
      <c r="E167" s="7"/>
      <c r="F167" s="7"/>
      <c r="G167" s="7"/>
      <c r="H167" s="7"/>
      <c r="I167" s="7"/>
      <c r="J167" s="7"/>
      <c r="K167" s="7"/>
      <c r="L167" s="7"/>
      <c r="M167" s="7"/>
      <c r="N167" s="7"/>
      <c r="O167" s="7"/>
      <c r="P167" s="7"/>
      <c r="Q167" s="7"/>
      <c r="R167" s="7"/>
      <c r="S167" s="7"/>
      <c r="T167" s="7"/>
      <c r="U167" s="7"/>
      <c r="V167" s="7"/>
    </row>
    <row r="168" spans="1:22" ht="12.75" customHeight="1">
      <c r="A168" s="7"/>
      <c r="B168" s="7"/>
      <c r="C168" s="8"/>
      <c r="D168" s="66"/>
      <c r="E168" s="7"/>
      <c r="F168" s="7"/>
      <c r="G168" s="7"/>
      <c r="H168" s="7"/>
      <c r="I168" s="7"/>
      <c r="J168" s="7"/>
      <c r="K168" s="7"/>
      <c r="L168" s="7"/>
      <c r="M168" s="7"/>
      <c r="N168" s="7"/>
      <c r="O168" s="7"/>
      <c r="P168" s="7"/>
      <c r="Q168" s="7"/>
      <c r="R168" s="7"/>
      <c r="S168" s="7"/>
      <c r="T168" s="7"/>
      <c r="U168" s="7"/>
      <c r="V168" s="7"/>
    </row>
    <row r="169" spans="1:22" ht="12.75" customHeight="1">
      <c r="A169" s="7"/>
      <c r="B169" s="7"/>
      <c r="C169" s="8"/>
      <c r="D169" s="66"/>
      <c r="E169" s="7"/>
      <c r="F169" s="7"/>
      <c r="G169" s="7"/>
      <c r="H169" s="7"/>
      <c r="I169" s="7"/>
      <c r="J169" s="7"/>
      <c r="K169" s="7"/>
      <c r="L169" s="7"/>
      <c r="M169" s="7"/>
      <c r="N169" s="7"/>
      <c r="O169" s="7"/>
      <c r="P169" s="7"/>
      <c r="Q169" s="7"/>
      <c r="R169" s="7"/>
      <c r="S169" s="7"/>
      <c r="T169" s="7"/>
      <c r="U169" s="7"/>
      <c r="V169" s="7"/>
    </row>
    <row r="170" spans="1:22" ht="12.75" customHeight="1">
      <c r="A170" s="7"/>
      <c r="B170" s="7"/>
      <c r="C170" s="8"/>
      <c r="D170" s="66"/>
      <c r="E170" s="7"/>
      <c r="F170" s="7"/>
      <c r="G170" s="7"/>
      <c r="H170" s="7"/>
      <c r="I170" s="7"/>
      <c r="J170" s="7"/>
      <c r="K170" s="7"/>
      <c r="L170" s="7"/>
      <c r="M170" s="7"/>
      <c r="N170" s="7"/>
      <c r="O170" s="7"/>
      <c r="P170" s="7"/>
      <c r="Q170" s="7"/>
      <c r="R170" s="7"/>
      <c r="S170" s="7"/>
      <c r="T170" s="7"/>
      <c r="U170" s="7"/>
      <c r="V170" s="7"/>
    </row>
    <row r="171" spans="1:22" ht="12.75" customHeight="1">
      <c r="A171" s="7"/>
      <c r="B171" s="7"/>
      <c r="C171" s="8"/>
      <c r="D171" s="66"/>
      <c r="E171" s="7"/>
      <c r="F171" s="7"/>
      <c r="G171" s="7"/>
      <c r="H171" s="7"/>
      <c r="I171" s="7"/>
      <c r="J171" s="7"/>
      <c r="K171" s="7"/>
      <c r="L171" s="7"/>
      <c r="M171" s="7"/>
      <c r="N171" s="7"/>
      <c r="O171" s="7"/>
      <c r="P171" s="7"/>
      <c r="Q171" s="7"/>
      <c r="R171" s="7"/>
      <c r="S171" s="7"/>
      <c r="T171" s="7"/>
      <c r="U171" s="7"/>
      <c r="V171" s="7"/>
    </row>
    <row r="172" spans="1:22" ht="12.75" customHeight="1">
      <c r="A172" s="7"/>
      <c r="B172" s="7"/>
      <c r="C172" s="8"/>
      <c r="D172" s="66"/>
      <c r="E172" s="7"/>
      <c r="F172" s="7"/>
      <c r="G172" s="7"/>
      <c r="H172" s="7"/>
      <c r="I172" s="7"/>
      <c r="J172" s="7"/>
      <c r="K172" s="7"/>
      <c r="L172" s="7"/>
      <c r="M172" s="7"/>
      <c r="N172" s="7"/>
      <c r="O172" s="7"/>
      <c r="P172" s="7"/>
      <c r="Q172" s="7"/>
      <c r="R172" s="7"/>
      <c r="S172" s="7"/>
      <c r="T172" s="7"/>
      <c r="U172" s="7"/>
      <c r="V172" s="7"/>
    </row>
    <row r="173" spans="1:22" ht="12.75" customHeight="1">
      <c r="A173" s="7"/>
      <c r="B173" s="7"/>
      <c r="C173" s="8"/>
      <c r="D173" s="66"/>
      <c r="E173" s="7"/>
      <c r="F173" s="7"/>
      <c r="G173" s="7"/>
      <c r="H173" s="7"/>
      <c r="I173" s="7"/>
      <c r="J173" s="7"/>
      <c r="K173" s="7"/>
      <c r="L173" s="7"/>
      <c r="M173" s="7"/>
      <c r="N173" s="7"/>
      <c r="O173" s="7"/>
      <c r="P173" s="7"/>
      <c r="Q173" s="7"/>
      <c r="R173" s="7"/>
      <c r="S173" s="7"/>
      <c r="T173" s="7"/>
      <c r="U173" s="7"/>
      <c r="V173" s="7"/>
    </row>
    <row r="174" spans="1:22" ht="12.75" customHeight="1">
      <c r="A174" s="7"/>
      <c r="B174" s="7"/>
      <c r="C174" s="8"/>
      <c r="D174" s="66"/>
      <c r="E174" s="7"/>
      <c r="F174" s="7"/>
      <c r="G174" s="7"/>
      <c r="H174" s="7"/>
      <c r="I174" s="7"/>
      <c r="J174" s="7"/>
      <c r="K174" s="7"/>
      <c r="L174" s="7"/>
      <c r="M174" s="7"/>
      <c r="N174" s="7"/>
      <c r="O174" s="7"/>
      <c r="P174" s="7"/>
      <c r="Q174" s="7"/>
      <c r="R174" s="7"/>
      <c r="S174" s="7"/>
      <c r="T174" s="7"/>
      <c r="U174" s="7"/>
      <c r="V174" s="7"/>
    </row>
    <row r="175" spans="1:22" ht="12.75" customHeight="1">
      <c r="A175" s="7"/>
      <c r="B175" s="7"/>
      <c r="C175" s="8"/>
      <c r="D175" s="66"/>
      <c r="E175" s="7"/>
      <c r="F175" s="7"/>
      <c r="G175" s="7"/>
      <c r="H175" s="7"/>
      <c r="I175" s="7"/>
      <c r="J175" s="7"/>
      <c r="K175" s="7"/>
      <c r="L175" s="7"/>
      <c r="M175" s="7"/>
      <c r="N175" s="7"/>
      <c r="O175" s="7"/>
      <c r="P175" s="7"/>
      <c r="Q175" s="7"/>
      <c r="R175" s="7"/>
      <c r="S175" s="7"/>
      <c r="T175" s="7"/>
      <c r="U175" s="7"/>
      <c r="V175" s="7"/>
    </row>
    <row r="176" spans="1:22" ht="12.75" customHeight="1">
      <c r="A176" s="7"/>
      <c r="B176" s="7"/>
      <c r="C176" s="8"/>
      <c r="D176" s="66"/>
      <c r="E176" s="7"/>
      <c r="F176" s="7"/>
      <c r="G176" s="7"/>
      <c r="H176" s="7"/>
      <c r="I176" s="7"/>
      <c r="J176" s="7"/>
      <c r="K176" s="7"/>
      <c r="L176" s="7"/>
      <c r="M176" s="7"/>
      <c r="N176" s="7"/>
      <c r="O176" s="7"/>
      <c r="P176" s="7"/>
      <c r="Q176" s="7"/>
      <c r="R176" s="7"/>
      <c r="S176" s="7"/>
      <c r="T176" s="7"/>
      <c r="U176" s="7"/>
      <c r="V176" s="7"/>
    </row>
    <row r="177" spans="1:22" ht="12.75" customHeight="1">
      <c r="A177" s="7"/>
      <c r="B177" s="7"/>
      <c r="C177" s="8"/>
      <c r="D177" s="66"/>
      <c r="E177" s="7"/>
      <c r="F177" s="7"/>
      <c r="G177" s="7"/>
      <c r="H177" s="7"/>
      <c r="I177" s="7"/>
      <c r="J177" s="7"/>
      <c r="K177" s="7"/>
      <c r="L177" s="7"/>
      <c r="M177" s="7"/>
      <c r="N177" s="7"/>
      <c r="O177" s="7"/>
      <c r="P177" s="7"/>
      <c r="Q177" s="7"/>
      <c r="R177" s="7"/>
      <c r="S177" s="7"/>
      <c r="T177" s="7"/>
      <c r="U177" s="7"/>
      <c r="V177" s="7"/>
    </row>
    <row r="178" spans="1:22" ht="12.75" customHeight="1">
      <c r="A178" s="7"/>
      <c r="B178" s="7"/>
      <c r="C178" s="8"/>
      <c r="D178" s="66"/>
      <c r="E178" s="7"/>
      <c r="F178" s="7"/>
      <c r="G178" s="7"/>
      <c r="H178" s="7"/>
      <c r="I178" s="7"/>
      <c r="J178" s="7"/>
      <c r="K178" s="7"/>
      <c r="L178" s="7"/>
      <c r="M178" s="7"/>
      <c r="N178" s="7"/>
      <c r="O178" s="7"/>
      <c r="P178" s="7"/>
      <c r="Q178" s="7"/>
      <c r="R178" s="7"/>
      <c r="S178" s="7"/>
      <c r="T178" s="7"/>
      <c r="U178" s="7"/>
      <c r="V178" s="7"/>
    </row>
    <row r="179" spans="1:22" ht="12.75" customHeight="1">
      <c r="A179" s="7"/>
      <c r="B179" s="7"/>
      <c r="C179" s="8"/>
      <c r="D179" s="66"/>
      <c r="E179" s="7"/>
      <c r="F179" s="7"/>
      <c r="G179" s="7"/>
      <c r="H179" s="7"/>
      <c r="I179" s="7"/>
      <c r="J179" s="7"/>
      <c r="K179" s="7"/>
      <c r="L179" s="7"/>
      <c r="M179" s="7"/>
      <c r="N179" s="7"/>
      <c r="O179" s="7"/>
      <c r="P179" s="7"/>
      <c r="Q179" s="7"/>
      <c r="R179" s="7"/>
      <c r="S179" s="7"/>
      <c r="T179" s="7"/>
      <c r="U179" s="7"/>
      <c r="V179" s="7"/>
    </row>
    <row r="180" spans="1:22" ht="12.75" customHeight="1">
      <c r="A180" s="7"/>
      <c r="B180" s="7"/>
      <c r="C180" s="8"/>
      <c r="D180" s="66"/>
      <c r="E180" s="7"/>
      <c r="F180" s="7"/>
      <c r="G180" s="7"/>
      <c r="H180" s="7"/>
      <c r="I180" s="7"/>
      <c r="J180" s="7"/>
      <c r="K180" s="7"/>
      <c r="L180" s="7"/>
      <c r="M180" s="7"/>
      <c r="N180" s="7"/>
      <c r="O180" s="7"/>
      <c r="P180" s="7"/>
      <c r="Q180" s="7"/>
      <c r="R180" s="7"/>
      <c r="S180" s="7"/>
      <c r="T180" s="7"/>
      <c r="U180" s="7"/>
      <c r="V180" s="7"/>
    </row>
    <row r="181" spans="1:22" ht="12.75" customHeight="1">
      <c r="A181" s="7"/>
      <c r="B181" s="7"/>
      <c r="C181" s="8"/>
      <c r="D181" s="66"/>
      <c r="E181" s="7"/>
      <c r="F181" s="7"/>
      <c r="G181" s="7"/>
      <c r="H181" s="7"/>
      <c r="I181" s="7"/>
      <c r="J181" s="7"/>
      <c r="K181" s="7"/>
      <c r="L181" s="7"/>
      <c r="M181" s="7"/>
      <c r="N181" s="7"/>
      <c r="O181" s="7"/>
      <c r="P181" s="7"/>
      <c r="Q181" s="7"/>
      <c r="R181" s="7"/>
      <c r="S181" s="7"/>
      <c r="T181" s="7"/>
      <c r="U181" s="7"/>
      <c r="V181" s="7"/>
    </row>
    <row r="182" spans="1:22" ht="12.75" customHeight="1">
      <c r="A182" s="7"/>
      <c r="B182" s="7"/>
      <c r="C182" s="8"/>
      <c r="D182" s="66"/>
      <c r="E182" s="7"/>
      <c r="F182" s="7"/>
      <c r="G182" s="7"/>
      <c r="H182" s="7"/>
      <c r="I182" s="7"/>
      <c r="J182" s="7"/>
      <c r="K182" s="7"/>
      <c r="L182" s="7"/>
      <c r="M182" s="7"/>
      <c r="N182" s="7"/>
      <c r="O182" s="7"/>
      <c r="P182" s="7"/>
      <c r="Q182" s="7"/>
      <c r="R182" s="7"/>
      <c r="S182" s="7"/>
      <c r="T182" s="7"/>
      <c r="U182" s="7"/>
      <c r="V182" s="7"/>
    </row>
    <row r="183" spans="1:22" ht="12.75" customHeight="1">
      <c r="A183" s="7"/>
      <c r="B183" s="7"/>
      <c r="C183" s="8"/>
      <c r="D183" s="66"/>
      <c r="E183" s="7"/>
      <c r="F183" s="7"/>
      <c r="G183" s="7"/>
      <c r="H183" s="7"/>
      <c r="I183" s="7"/>
      <c r="J183" s="7"/>
      <c r="K183" s="7"/>
      <c r="L183" s="7"/>
      <c r="M183" s="7"/>
      <c r="N183" s="7"/>
      <c r="O183" s="7"/>
      <c r="P183" s="7"/>
      <c r="Q183" s="7"/>
      <c r="R183" s="7"/>
      <c r="S183" s="7"/>
      <c r="T183" s="7"/>
      <c r="U183" s="7"/>
      <c r="V183" s="7"/>
    </row>
    <row r="184" spans="1:22" ht="12.75" customHeight="1">
      <c r="A184" s="7"/>
      <c r="B184" s="7"/>
      <c r="C184" s="8"/>
      <c r="D184" s="66"/>
      <c r="E184" s="7"/>
      <c r="F184" s="7"/>
      <c r="G184" s="7"/>
      <c r="H184" s="7"/>
      <c r="I184" s="7"/>
      <c r="J184" s="7"/>
      <c r="K184" s="7"/>
      <c r="L184" s="7"/>
      <c r="M184" s="7"/>
      <c r="N184" s="7"/>
      <c r="O184" s="7"/>
      <c r="P184" s="7"/>
      <c r="Q184" s="7"/>
      <c r="R184" s="7"/>
      <c r="S184" s="7"/>
      <c r="T184" s="7"/>
      <c r="U184" s="7"/>
      <c r="V184" s="7"/>
    </row>
    <row r="185" spans="1:22" ht="12.75" customHeight="1">
      <c r="A185" s="7"/>
      <c r="B185" s="7"/>
      <c r="C185" s="8"/>
      <c r="D185" s="66"/>
      <c r="E185" s="7"/>
      <c r="F185" s="7"/>
      <c r="G185" s="7"/>
      <c r="H185" s="7"/>
      <c r="I185" s="7"/>
      <c r="J185" s="7"/>
      <c r="K185" s="7"/>
      <c r="L185" s="7"/>
      <c r="M185" s="7"/>
      <c r="N185" s="7"/>
      <c r="O185" s="7"/>
      <c r="P185" s="7"/>
      <c r="Q185" s="7"/>
      <c r="R185" s="7"/>
      <c r="S185" s="7"/>
      <c r="T185" s="7"/>
      <c r="U185" s="7"/>
      <c r="V185" s="7"/>
    </row>
    <row r="186" spans="1:22" ht="12.75" customHeight="1">
      <c r="A186" s="7"/>
      <c r="B186" s="7"/>
      <c r="C186" s="8"/>
      <c r="D186" s="66"/>
      <c r="E186" s="7"/>
      <c r="F186" s="7"/>
      <c r="G186" s="7"/>
      <c r="H186" s="7"/>
      <c r="I186" s="7"/>
      <c r="J186" s="7"/>
      <c r="K186" s="7"/>
      <c r="L186" s="7"/>
      <c r="M186" s="7"/>
      <c r="N186" s="7"/>
      <c r="O186" s="7"/>
      <c r="P186" s="7"/>
      <c r="Q186" s="7"/>
      <c r="R186" s="7"/>
      <c r="S186" s="7"/>
      <c r="T186" s="7"/>
      <c r="U186" s="7"/>
      <c r="V186" s="7"/>
    </row>
    <row r="187" spans="1:22" ht="12.75" customHeight="1">
      <c r="A187" s="7"/>
      <c r="B187" s="7"/>
      <c r="C187" s="8"/>
      <c r="D187" s="66"/>
      <c r="E187" s="7"/>
      <c r="F187" s="7"/>
      <c r="G187" s="7"/>
      <c r="H187" s="7"/>
      <c r="I187" s="7"/>
      <c r="J187" s="7"/>
      <c r="K187" s="7"/>
      <c r="L187" s="7"/>
      <c r="M187" s="7"/>
      <c r="N187" s="7"/>
      <c r="O187" s="7"/>
      <c r="P187" s="7"/>
      <c r="Q187" s="7"/>
      <c r="R187" s="7"/>
      <c r="S187" s="7"/>
      <c r="T187" s="7"/>
      <c r="U187" s="7"/>
      <c r="V187" s="7"/>
    </row>
    <row r="188" spans="1:22" ht="12.75" customHeight="1">
      <c r="A188" s="7"/>
      <c r="B188" s="7"/>
      <c r="C188" s="8"/>
      <c r="D188" s="66"/>
      <c r="E188" s="7"/>
      <c r="F188" s="7"/>
      <c r="G188" s="7"/>
      <c r="H188" s="7"/>
      <c r="I188" s="7"/>
      <c r="J188" s="7"/>
      <c r="K188" s="7"/>
      <c r="L188" s="7"/>
      <c r="M188" s="7"/>
      <c r="N188" s="7"/>
      <c r="O188" s="7"/>
      <c r="P188" s="7"/>
      <c r="Q188" s="7"/>
      <c r="R188" s="7"/>
      <c r="S188" s="7"/>
      <c r="T188" s="7"/>
      <c r="U188" s="7"/>
      <c r="V188" s="7"/>
    </row>
    <row r="189" spans="1:22" ht="12.75" customHeight="1">
      <c r="A189" s="7"/>
      <c r="B189" s="7"/>
      <c r="C189" s="8"/>
      <c r="D189" s="66"/>
      <c r="E189" s="7"/>
      <c r="F189" s="7"/>
      <c r="G189" s="7"/>
      <c r="H189" s="7"/>
      <c r="I189" s="7"/>
      <c r="J189" s="7"/>
      <c r="K189" s="7"/>
      <c r="L189" s="7"/>
      <c r="M189" s="7"/>
      <c r="N189" s="7"/>
      <c r="O189" s="7"/>
      <c r="P189" s="7"/>
      <c r="Q189" s="7"/>
      <c r="R189" s="7"/>
      <c r="S189" s="7"/>
      <c r="T189" s="7"/>
      <c r="U189" s="7"/>
      <c r="V189" s="7"/>
    </row>
    <row r="190" spans="1:22" ht="12.75" customHeight="1">
      <c r="A190" s="7"/>
      <c r="B190" s="7"/>
      <c r="C190" s="8"/>
      <c r="D190" s="66"/>
      <c r="E190" s="7"/>
      <c r="F190" s="7"/>
      <c r="G190" s="7"/>
      <c r="H190" s="7"/>
      <c r="I190" s="7"/>
      <c r="J190" s="7"/>
      <c r="K190" s="7"/>
      <c r="L190" s="7"/>
      <c r="M190" s="7"/>
      <c r="N190" s="7"/>
      <c r="O190" s="7"/>
      <c r="P190" s="7"/>
      <c r="Q190" s="7"/>
      <c r="R190" s="7"/>
      <c r="S190" s="7"/>
      <c r="T190" s="7"/>
      <c r="U190" s="7"/>
      <c r="V190" s="7"/>
    </row>
    <row r="191" spans="1:22" ht="12.75" customHeight="1">
      <c r="A191" s="7"/>
      <c r="B191" s="7"/>
      <c r="C191" s="8"/>
      <c r="D191" s="66"/>
      <c r="E191" s="7"/>
      <c r="F191" s="7"/>
      <c r="G191" s="7"/>
      <c r="H191" s="7"/>
      <c r="I191" s="7"/>
      <c r="J191" s="7"/>
      <c r="K191" s="7"/>
      <c r="L191" s="7"/>
      <c r="M191" s="7"/>
      <c r="N191" s="7"/>
      <c r="O191" s="7"/>
      <c r="P191" s="7"/>
      <c r="Q191" s="7"/>
      <c r="R191" s="7"/>
      <c r="S191" s="7"/>
      <c r="T191" s="7"/>
      <c r="U191" s="7"/>
      <c r="V191" s="7"/>
    </row>
    <row r="192" spans="1:22" ht="12.75" customHeight="1">
      <c r="A192" s="7"/>
      <c r="B192" s="7"/>
      <c r="C192" s="8"/>
      <c r="D192" s="66"/>
      <c r="E192" s="7"/>
      <c r="F192" s="7"/>
      <c r="G192" s="7"/>
      <c r="H192" s="7"/>
      <c r="I192" s="7"/>
      <c r="J192" s="7"/>
      <c r="K192" s="7"/>
      <c r="L192" s="7"/>
      <c r="M192" s="7"/>
      <c r="N192" s="7"/>
      <c r="O192" s="7"/>
      <c r="P192" s="7"/>
      <c r="Q192" s="7"/>
      <c r="R192" s="7"/>
      <c r="S192" s="7"/>
      <c r="T192" s="7"/>
      <c r="U192" s="7"/>
      <c r="V192" s="7"/>
    </row>
    <row r="193" spans="1:22" ht="12.75" customHeight="1">
      <c r="A193" s="7"/>
      <c r="B193" s="7"/>
      <c r="C193" s="8"/>
      <c r="D193" s="66"/>
      <c r="E193" s="7"/>
      <c r="F193" s="7"/>
      <c r="G193" s="7"/>
      <c r="H193" s="7"/>
      <c r="I193" s="7"/>
      <c r="J193" s="7"/>
      <c r="K193" s="7"/>
      <c r="L193" s="7"/>
      <c r="M193" s="7"/>
      <c r="N193" s="7"/>
      <c r="O193" s="7"/>
      <c r="P193" s="7"/>
      <c r="Q193" s="7"/>
      <c r="R193" s="7"/>
      <c r="S193" s="7"/>
      <c r="T193" s="7"/>
      <c r="U193" s="7"/>
      <c r="V193" s="7"/>
    </row>
    <row r="194" spans="1:22" ht="12.75" customHeight="1">
      <c r="A194" s="7"/>
      <c r="B194" s="7"/>
      <c r="C194" s="8"/>
      <c r="D194" s="66"/>
      <c r="E194" s="7"/>
      <c r="F194" s="7"/>
      <c r="G194" s="7"/>
      <c r="H194" s="7"/>
      <c r="I194" s="7"/>
      <c r="J194" s="7"/>
      <c r="K194" s="7"/>
      <c r="L194" s="7"/>
      <c r="M194" s="7"/>
      <c r="N194" s="7"/>
      <c r="O194" s="7"/>
      <c r="P194" s="7"/>
      <c r="Q194" s="7"/>
      <c r="R194" s="7"/>
      <c r="S194" s="7"/>
      <c r="T194" s="7"/>
      <c r="U194" s="7"/>
      <c r="V194" s="7"/>
    </row>
    <row r="195" spans="1:22" ht="12.75" customHeight="1">
      <c r="A195" s="7"/>
      <c r="B195" s="7"/>
      <c r="C195" s="8"/>
      <c r="D195" s="66"/>
      <c r="E195" s="7"/>
      <c r="F195" s="7"/>
      <c r="G195" s="7"/>
      <c r="H195" s="7"/>
      <c r="I195" s="7"/>
      <c r="J195" s="7"/>
      <c r="K195" s="7"/>
      <c r="L195" s="7"/>
      <c r="M195" s="7"/>
      <c r="N195" s="7"/>
      <c r="O195" s="7"/>
      <c r="P195" s="7"/>
      <c r="Q195" s="7"/>
      <c r="R195" s="7"/>
      <c r="S195" s="7"/>
      <c r="T195" s="7"/>
      <c r="U195" s="7"/>
      <c r="V195" s="7"/>
    </row>
    <row r="196" spans="1:22" ht="12.75" customHeight="1">
      <c r="A196" s="7"/>
      <c r="B196" s="7"/>
      <c r="C196" s="8"/>
      <c r="D196" s="66"/>
      <c r="E196" s="7"/>
      <c r="F196" s="7"/>
      <c r="G196" s="7"/>
      <c r="H196" s="7"/>
      <c r="I196" s="7"/>
      <c r="J196" s="7"/>
      <c r="K196" s="7"/>
      <c r="L196" s="7"/>
      <c r="M196" s="7"/>
      <c r="N196" s="7"/>
      <c r="O196" s="7"/>
      <c r="P196" s="7"/>
      <c r="Q196" s="7"/>
      <c r="R196" s="7"/>
      <c r="S196" s="7"/>
      <c r="T196" s="7"/>
      <c r="U196" s="7"/>
      <c r="V196" s="7"/>
    </row>
    <row r="197" spans="1:22" ht="12.75" customHeight="1">
      <c r="A197" s="7"/>
      <c r="B197" s="7"/>
      <c r="C197" s="8"/>
      <c r="D197" s="66"/>
      <c r="E197" s="7"/>
      <c r="F197" s="7"/>
      <c r="G197" s="7"/>
      <c r="H197" s="7"/>
      <c r="I197" s="7"/>
      <c r="J197" s="7"/>
      <c r="K197" s="7"/>
      <c r="L197" s="7"/>
      <c r="M197" s="7"/>
      <c r="N197" s="7"/>
      <c r="O197" s="7"/>
      <c r="P197" s="7"/>
      <c r="Q197" s="7"/>
      <c r="R197" s="7"/>
      <c r="S197" s="7"/>
      <c r="T197" s="7"/>
      <c r="U197" s="7"/>
      <c r="V197" s="7"/>
    </row>
    <row r="198" spans="1:22" ht="12.75" customHeight="1">
      <c r="A198" s="7"/>
      <c r="B198" s="7"/>
      <c r="C198" s="8"/>
      <c r="D198" s="66"/>
      <c r="E198" s="7"/>
      <c r="F198" s="7"/>
      <c r="G198" s="7"/>
      <c r="H198" s="7"/>
      <c r="I198" s="7"/>
      <c r="J198" s="7"/>
      <c r="K198" s="7"/>
      <c r="L198" s="7"/>
      <c r="M198" s="7"/>
      <c r="N198" s="7"/>
      <c r="O198" s="7"/>
      <c r="P198" s="7"/>
      <c r="Q198" s="7"/>
      <c r="R198" s="7"/>
      <c r="S198" s="7"/>
      <c r="T198" s="7"/>
      <c r="U198" s="7"/>
      <c r="V198" s="7"/>
    </row>
    <row r="199" spans="1:22" ht="12.75" customHeight="1">
      <c r="A199" s="7"/>
      <c r="B199" s="7"/>
      <c r="C199" s="8"/>
      <c r="D199" s="66"/>
      <c r="E199" s="7"/>
      <c r="F199" s="7"/>
      <c r="G199" s="7"/>
      <c r="H199" s="7"/>
      <c r="I199" s="7"/>
      <c r="J199" s="7"/>
      <c r="K199" s="7"/>
      <c r="L199" s="7"/>
      <c r="M199" s="7"/>
      <c r="N199" s="7"/>
      <c r="O199" s="7"/>
      <c r="P199" s="7"/>
      <c r="Q199" s="7"/>
      <c r="R199" s="7"/>
      <c r="S199" s="7"/>
      <c r="T199" s="7"/>
      <c r="U199" s="7"/>
      <c r="V199" s="7"/>
    </row>
    <row r="200" spans="1:22" ht="12.75" customHeight="1">
      <c r="A200" s="7"/>
      <c r="B200" s="7"/>
      <c r="C200" s="8"/>
      <c r="D200" s="66"/>
      <c r="E200" s="7"/>
      <c r="F200" s="7"/>
      <c r="G200" s="7"/>
      <c r="H200" s="7"/>
      <c r="I200" s="7"/>
      <c r="J200" s="7"/>
      <c r="K200" s="7"/>
      <c r="L200" s="7"/>
      <c r="M200" s="7"/>
      <c r="N200" s="7"/>
      <c r="O200" s="7"/>
      <c r="P200" s="7"/>
      <c r="Q200" s="7"/>
      <c r="R200" s="7"/>
      <c r="S200" s="7"/>
      <c r="T200" s="7"/>
      <c r="U200" s="7"/>
      <c r="V200" s="7"/>
    </row>
    <row r="201" spans="1:22" ht="12.75" customHeight="1">
      <c r="A201" s="7"/>
      <c r="B201" s="7"/>
      <c r="C201" s="8"/>
      <c r="D201" s="66"/>
      <c r="E201" s="7"/>
      <c r="F201" s="7"/>
      <c r="G201" s="7"/>
      <c r="H201" s="7"/>
      <c r="I201" s="7"/>
      <c r="J201" s="7"/>
      <c r="K201" s="7"/>
      <c r="L201" s="7"/>
      <c r="M201" s="7"/>
      <c r="N201" s="7"/>
      <c r="O201" s="7"/>
      <c r="P201" s="7"/>
      <c r="Q201" s="7"/>
      <c r="R201" s="7"/>
      <c r="S201" s="7"/>
      <c r="T201" s="7"/>
      <c r="U201" s="7"/>
      <c r="V201" s="7"/>
    </row>
    <row r="202" spans="1:22" ht="12.75" customHeight="1">
      <c r="A202" s="7"/>
      <c r="B202" s="7"/>
      <c r="C202" s="8"/>
      <c r="D202" s="66"/>
      <c r="E202" s="7"/>
      <c r="F202" s="7"/>
      <c r="G202" s="7"/>
      <c r="H202" s="7"/>
      <c r="I202" s="7"/>
      <c r="J202" s="7"/>
      <c r="K202" s="7"/>
      <c r="L202" s="7"/>
      <c r="M202" s="7"/>
      <c r="N202" s="7"/>
      <c r="O202" s="7"/>
      <c r="P202" s="7"/>
      <c r="Q202" s="7"/>
      <c r="R202" s="7"/>
      <c r="S202" s="7"/>
      <c r="T202" s="7"/>
      <c r="U202" s="7"/>
      <c r="V202" s="7"/>
    </row>
    <row r="203" spans="1:22" ht="12.75" customHeight="1">
      <c r="A203" s="7"/>
      <c r="B203" s="7"/>
      <c r="C203" s="8"/>
      <c r="D203" s="66"/>
      <c r="E203" s="7"/>
      <c r="F203" s="7"/>
      <c r="G203" s="7"/>
      <c r="H203" s="7"/>
      <c r="I203" s="7"/>
      <c r="J203" s="7"/>
      <c r="K203" s="7"/>
      <c r="L203" s="7"/>
      <c r="M203" s="7"/>
      <c r="N203" s="7"/>
      <c r="O203" s="7"/>
      <c r="P203" s="7"/>
      <c r="Q203" s="7"/>
      <c r="R203" s="7"/>
      <c r="S203" s="7"/>
      <c r="T203" s="7"/>
      <c r="U203" s="7"/>
      <c r="V203" s="7"/>
    </row>
    <row r="204" spans="1:22" ht="12.75" customHeight="1">
      <c r="A204" s="7"/>
      <c r="B204" s="7"/>
      <c r="C204" s="8"/>
      <c r="D204" s="66"/>
      <c r="E204" s="7"/>
      <c r="F204" s="7"/>
      <c r="G204" s="7"/>
      <c r="H204" s="7"/>
      <c r="I204" s="7"/>
      <c r="J204" s="7"/>
      <c r="K204" s="7"/>
      <c r="L204" s="7"/>
      <c r="M204" s="7"/>
      <c r="N204" s="7"/>
      <c r="O204" s="7"/>
      <c r="P204" s="7"/>
      <c r="Q204" s="7"/>
      <c r="R204" s="7"/>
      <c r="S204" s="7"/>
      <c r="T204" s="7"/>
      <c r="U204" s="7"/>
      <c r="V204" s="7"/>
    </row>
    <row r="205" spans="1:22" ht="12.75" customHeight="1">
      <c r="A205" s="7"/>
      <c r="B205" s="7"/>
      <c r="C205" s="8"/>
      <c r="D205" s="66"/>
      <c r="E205" s="7"/>
      <c r="F205" s="7"/>
      <c r="G205" s="7"/>
      <c r="H205" s="7"/>
      <c r="I205" s="7"/>
      <c r="J205" s="7"/>
      <c r="K205" s="7"/>
      <c r="L205" s="7"/>
      <c r="M205" s="7"/>
      <c r="N205" s="7"/>
      <c r="O205" s="7"/>
      <c r="P205" s="7"/>
      <c r="Q205" s="7"/>
      <c r="R205" s="7"/>
      <c r="S205" s="7"/>
      <c r="T205" s="7"/>
      <c r="U205" s="7"/>
      <c r="V205" s="7"/>
    </row>
    <row r="206" spans="1:22" ht="12.75" customHeight="1">
      <c r="A206" s="7"/>
      <c r="B206" s="7"/>
      <c r="C206" s="8"/>
      <c r="D206" s="66"/>
      <c r="E206" s="7"/>
      <c r="F206" s="7"/>
      <c r="G206" s="7"/>
      <c r="H206" s="7"/>
      <c r="I206" s="7"/>
      <c r="J206" s="7"/>
      <c r="K206" s="7"/>
      <c r="L206" s="7"/>
      <c r="M206" s="7"/>
      <c r="N206" s="7"/>
      <c r="O206" s="7"/>
      <c r="P206" s="7"/>
      <c r="Q206" s="7"/>
      <c r="R206" s="7"/>
      <c r="S206" s="7"/>
      <c r="T206" s="7"/>
      <c r="U206" s="7"/>
      <c r="V206" s="7"/>
    </row>
    <row r="207" spans="1:22" ht="12.75" customHeight="1">
      <c r="A207" s="7"/>
      <c r="B207" s="7"/>
      <c r="C207" s="8"/>
      <c r="D207" s="66"/>
      <c r="E207" s="7"/>
      <c r="F207" s="7"/>
      <c r="G207" s="7"/>
      <c r="H207" s="7"/>
      <c r="I207" s="7"/>
      <c r="J207" s="7"/>
      <c r="K207" s="7"/>
      <c r="L207" s="7"/>
      <c r="M207" s="7"/>
      <c r="N207" s="7"/>
      <c r="O207" s="7"/>
      <c r="P207" s="7"/>
      <c r="Q207" s="7"/>
      <c r="R207" s="7"/>
      <c r="S207" s="7"/>
      <c r="T207" s="7"/>
      <c r="U207" s="7"/>
      <c r="V207" s="7"/>
    </row>
    <row r="208" spans="1:22" ht="12.75" customHeight="1">
      <c r="A208" s="7"/>
      <c r="B208" s="7"/>
      <c r="C208" s="8"/>
      <c r="D208" s="66"/>
      <c r="E208" s="7"/>
      <c r="F208" s="7"/>
      <c r="G208" s="7"/>
      <c r="H208" s="7"/>
      <c r="I208" s="7"/>
      <c r="J208" s="7"/>
      <c r="K208" s="7"/>
      <c r="L208" s="7"/>
      <c r="M208" s="7"/>
      <c r="N208" s="7"/>
      <c r="O208" s="7"/>
      <c r="P208" s="7"/>
      <c r="Q208" s="7"/>
      <c r="R208" s="7"/>
      <c r="S208" s="7"/>
      <c r="T208" s="7"/>
      <c r="U208" s="7"/>
      <c r="V208" s="7"/>
    </row>
    <row r="209" spans="1:22" ht="12.75" customHeight="1">
      <c r="A209" s="7"/>
      <c r="B209" s="7"/>
      <c r="C209" s="8"/>
      <c r="D209" s="66"/>
      <c r="E209" s="7"/>
      <c r="F209" s="7"/>
      <c r="G209" s="7"/>
      <c r="H209" s="7"/>
      <c r="I209" s="7"/>
      <c r="J209" s="7"/>
      <c r="K209" s="7"/>
      <c r="L209" s="7"/>
      <c r="M209" s="7"/>
      <c r="N209" s="7"/>
      <c r="O209" s="7"/>
      <c r="P209" s="7"/>
      <c r="Q209" s="7"/>
      <c r="R209" s="7"/>
      <c r="S209" s="7"/>
      <c r="T209" s="7"/>
      <c r="U209" s="7"/>
      <c r="V209" s="7"/>
    </row>
    <row r="210" spans="1:22" ht="12.75" customHeight="1">
      <c r="A210" s="7"/>
      <c r="B210" s="7"/>
      <c r="C210" s="8"/>
      <c r="D210" s="66"/>
      <c r="E210" s="7"/>
      <c r="F210" s="7"/>
      <c r="G210" s="7"/>
      <c r="H210" s="7"/>
      <c r="I210" s="7"/>
      <c r="J210" s="7"/>
      <c r="K210" s="7"/>
      <c r="L210" s="7"/>
      <c r="M210" s="7"/>
      <c r="N210" s="7"/>
      <c r="O210" s="7"/>
      <c r="P210" s="7"/>
      <c r="Q210" s="7"/>
      <c r="R210" s="7"/>
      <c r="S210" s="7"/>
      <c r="T210" s="7"/>
      <c r="U210" s="7"/>
      <c r="V210" s="7"/>
    </row>
    <row r="211" spans="1:22" ht="12.75" customHeight="1">
      <c r="A211" s="7"/>
      <c r="B211" s="7"/>
      <c r="C211" s="8"/>
      <c r="D211" s="66"/>
      <c r="E211" s="7"/>
      <c r="F211" s="7"/>
      <c r="G211" s="7"/>
      <c r="H211" s="7"/>
      <c r="I211" s="7"/>
      <c r="J211" s="7"/>
      <c r="K211" s="7"/>
      <c r="L211" s="7"/>
      <c r="M211" s="7"/>
      <c r="N211" s="7"/>
      <c r="O211" s="7"/>
      <c r="P211" s="7"/>
      <c r="Q211" s="7"/>
      <c r="R211" s="7"/>
      <c r="S211" s="7"/>
      <c r="T211" s="7"/>
      <c r="U211" s="7"/>
      <c r="V211" s="7"/>
    </row>
    <row r="212" spans="1:22" ht="12.75" customHeight="1">
      <c r="A212" s="7"/>
      <c r="B212" s="7"/>
      <c r="C212" s="8"/>
      <c r="D212" s="66"/>
      <c r="E212" s="7"/>
      <c r="F212" s="7"/>
      <c r="G212" s="7"/>
      <c r="H212" s="7"/>
      <c r="I212" s="7"/>
      <c r="J212" s="7"/>
      <c r="K212" s="7"/>
      <c r="L212" s="7"/>
      <c r="M212" s="7"/>
      <c r="N212" s="7"/>
      <c r="O212" s="7"/>
      <c r="P212" s="7"/>
      <c r="Q212" s="7"/>
      <c r="R212" s="7"/>
      <c r="S212" s="7"/>
      <c r="T212" s="7"/>
      <c r="U212" s="7"/>
      <c r="V212" s="7"/>
    </row>
    <row r="213" spans="1:22" ht="12.75" customHeight="1">
      <c r="A213" s="7"/>
      <c r="B213" s="7"/>
      <c r="C213" s="8"/>
      <c r="D213" s="66"/>
      <c r="E213" s="7"/>
      <c r="F213" s="7"/>
      <c r="G213" s="7"/>
      <c r="H213" s="7"/>
      <c r="I213" s="7"/>
      <c r="J213" s="7"/>
      <c r="K213" s="7"/>
      <c r="L213" s="7"/>
      <c r="M213" s="7"/>
      <c r="N213" s="7"/>
      <c r="O213" s="7"/>
      <c r="P213" s="7"/>
      <c r="Q213" s="7"/>
      <c r="R213" s="7"/>
      <c r="S213" s="7"/>
      <c r="T213" s="7"/>
      <c r="U213" s="7"/>
      <c r="V213" s="7"/>
    </row>
    <row r="214" spans="1:22" ht="12.75" customHeight="1">
      <c r="A214" s="7"/>
      <c r="B214" s="7"/>
      <c r="C214" s="8"/>
      <c r="D214" s="66"/>
      <c r="E214" s="7"/>
      <c r="F214" s="7"/>
      <c r="G214" s="7"/>
      <c r="H214" s="7"/>
      <c r="I214" s="7"/>
      <c r="J214" s="7"/>
      <c r="K214" s="7"/>
      <c r="L214" s="7"/>
      <c r="M214" s="7"/>
      <c r="N214" s="7"/>
      <c r="O214" s="7"/>
      <c r="P214" s="7"/>
      <c r="Q214" s="7"/>
      <c r="R214" s="7"/>
      <c r="S214" s="7"/>
      <c r="T214" s="7"/>
      <c r="U214" s="7"/>
      <c r="V214" s="7"/>
    </row>
    <row r="215" spans="1:22" ht="12.75" customHeight="1">
      <c r="A215" s="7"/>
      <c r="B215" s="7"/>
      <c r="C215" s="8"/>
      <c r="D215" s="66"/>
      <c r="E215" s="7"/>
      <c r="F215" s="7"/>
      <c r="G215" s="7"/>
      <c r="H215" s="7"/>
      <c r="I215" s="7"/>
      <c r="J215" s="7"/>
      <c r="K215" s="7"/>
      <c r="L215" s="7"/>
      <c r="M215" s="7"/>
      <c r="N215" s="7"/>
      <c r="O215" s="7"/>
      <c r="P215" s="7"/>
      <c r="Q215" s="7"/>
      <c r="R215" s="7"/>
      <c r="S215" s="7"/>
      <c r="T215" s="7"/>
      <c r="U215" s="7"/>
      <c r="V215" s="7"/>
    </row>
    <row r="216" spans="1:22" ht="12.75" customHeight="1">
      <c r="A216" s="7"/>
      <c r="B216" s="7"/>
      <c r="C216" s="8"/>
      <c r="D216" s="66"/>
      <c r="E216" s="7"/>
      <c r="F216" s="7"/>
      <c r="G216" s="7"/>
      <c r="H216" s="7"/>
      <c r="I216" s="7"/>
      <c r="J216" s="7"/>
      <c r="K216" s="7"/>
      <c r="L216" s="7"/>
      <c r="M216" s="7"/>
      <c r="N216" s="7"/>
      <c r="O216" s="7"/>
      <c r="P216" s="7"/>
      <c r="Q216" s="7"/>
      <c r="R216" s="7"/>
      <c r="S216" s="7"/>
      <c r="T216" s="7"/>
      <c r="U216" s="7"/>
      <c r="V216" s="7"/>
    </row>
    <row r="217" spans="1:22" ht="12.75" customHeight="1">
      <c r="A217" s="7"/>
      <c r="B217" s="7"/>
      <c r="C217" s="8"/>
      <c r="D217" s="66"/>
      <c r="E217" s="7"/>
      <c r="F217" s="7"/>
      <c r="G217" s="7"/>
      <c r="H217" s="7"/>
      <c r="I217" s="7"/>
      <c r="J217" s="7"/>
      <c r="K217" s="7"/>
      <c r="L217" s="7"/>
      <c r="M217" s="7"/>
      <c r="N217" s="7"/>
      <c r="O217" s="7"/>
      <c r="P217" s="7"/>
      <c r="Q217" s="7"/>
      <c r="R217" s="7"/>
      <c r="S217" s="7"/>
      <c r="T217" s="7"/>
      <c r="U217" s="7"/>
      <c r="V217" s="7"/>
    </row>
    <row r="218" spans="1:22" ht="12.75" customHeight="1">
      <c r="A218" s="7"/>
      <c r="B218" s="7"/>
      <c r="C218" s="8"/>
      <c r="D218" s="66"/>
      <c r="E218" s="7"/>
      <c r="F218" s="7"/>
      <c r="G218" s="7"/>
      <c r="H218" s="7"/>
      <c r="I218" s="7"/>
      <c r="J218" s="7"/>
      <c r="K218" s="7"/>
      <c r="L218" s="7"/>
      <c r="M218" s="7"/>
      <c r="N218" s="7"/>
      <c r="O218" s="7"/>
      <c r="P218" s="7"/>
      <c r="Q218" s="7"/>
      <c r="R218" s="7"/>
      <c r="S218" s="7"/>
      <c r="T218" s="7"/>
      <c r="U218" s="7"/>
      <c r="V218" s="7"/>
    </row>
    <row r="219" spans="1:22" ht="12.75" customHeight="1">
      <c r="A219" s="7"/>
      <c r="B219" s="7"/>
      <c r="C219" s="8"/>
      <c r="D219" s="66"/>
      <c r="E219" s="7"/>
      <c r="F219" s="7"/>
      <c r="G219" s="7"/>
      <c r="H219" s="7"/>
      <c r="I219" s="7"/>
      <c r="J219" s="7"/>
      <c r="K219" s="7"/>
      <c r="L219" s="7"/>
      <c r="M219" s="7"/>
      <c r="N219" s="7"/>
      <c r="O219" s="7"/>
      <c r="P219" s="7"/>
      <c r="Q219" s="7"/>
      <c r="R219" s="7"/>
      <c r="S219" s="7"/>
      <c r="T219" s="7"/>
      <c r="U219" s="7"/>
      <c r="V219" s="7"/>
    </row>
    <row r="220" spans="1:22" ht="12.75" customHeight="1">
      <c r="A220" s="7"/>
      <c r="B220" s="7"/>
      <c r="C220" s="8"/>
      <c r="D220" s="66"/>
      <c r="E220" s="7"/>
      <c r="F220" s="7"/>
      <c r="G220" s="7"/>
      <c r="H220" s="7"/>
      <c r="I220" s="7"/>
      <c r="J220" s="7"/>
      <c r="K220" s="7"/>
      <c r="L220" s="7"/>
      <c r="M220" s="7"/>
      <c r="N220" s="7"/>
      <c r="O220" s="7"/>
      <c r="P220" s="7"/>
      <c r="Q220" s="7"/>
      <c r="R220" s="7"/>
      <c r="S220" s="7"/>
      <c r="T220" s="7"/>
      <c r="U220" s="7"/>
      <c r="V220" s="7"/>
    </row>
    <row r="221" spans="1:22" ht="12.75" customHeight="1">
      <c r="A221" s="7"/>
      <c r="B221" s="7"/>
      <c r="C221" s="8"/>
      <c r="D221" s="66"/>
      <c r="E221" s="7"/>
      <c r="F221" s="7"/>
      <c r="G221" s="7"/>
      <c r="H221" s="7"/>
      <c r="I221" s="7"/>
      <c r="J221" s="7"/>
      <c r="K221" s="7"/>
      <c r="L221" s="7"/>
      <c r="M221" s="7"/>
      <c r="N221" s="7"/>
      <c r="O221" s="7"/>
      <c r="P221" s="7"/>
      <c r="Q221" s="7"/>
      <c r="R221" s="7"/>
      <c r="S221" s="7"/>
      <c r="T221" s="7"/>
      <c r="U221" s="7"/>
      <c r="V221" s="7"/>
    </row>
    <row r="222" spans="1:22" ht="12.75" customHeight="1">
      <c r="A222" s="7"/>
      <c r="B222" s="7"/>
      <c r="C222" s="8"/>
      <c r="D222" s="66"/>
      <c r="E222" s="7"/>
      <c r="F222" s="7"/>
      <c r="G222" s="7"/>
      <c r="H222" s="7"/>
      <c r="I222" s="7"/>
      <c r="J222" s="7"/>
      <c r="K222" s="7"/>
      <c r="L222" s="7"/>
      <c r="M222" s="7"/>
      <c r="N222" s="7"/>
      <c r="O222" s="7"/>
      <c r="P222" s="7"/>
      <c r="Q222" s="7"/>
      <c r="R222" s="7"/>
      <c r="S222" s="7"/>
      <c r="T222" s="7"/>
      <c r="U222" s="7"/>
      <c r="V222" s="7"/>
    </row>
    <row r="223" spans="1:22" ht="12.75" customHeight="1">
      <c r="A223" s="7"/>
      <c r="B223" s="7"/>
      <c r="C223" s="8"/>
      <c r="D223" s="66"/>
      <c r="E223" s="7"/>
      <c r="F223" s="7"/>
      <c r="G223" s="7"/>
      <c r="H223" s="7"/>
      <c r="I223" s="7"/>
      <c r="J223" s="7"/>
      <c r="K223" s="7"/>
      <c r="L223" s="7"/>
      <c r="M223" s="7"/>
      <c r="N223" s="7"/>
      <c r="O223" s="7"/>
      <c r="P223" s="7"/>
      <c r="Q223" s="7"/>
      <c r="R223" s="7"/>
      <c r="S223" s="7"/>
      <c r="T223" s="7"/>
      <c r="U223" s="7"/>
      <c r="V223" s="7"/>
    </row>
    <row r="224" spans="1:22" ht="12.75" customHeight="1">
      <c r="A224" s="7"/>
      <c r="B224" s="7"/>
      <c r="C224" s="8"/>
      <c r="D224" s="66"/>
      <c r="E224" s="7"/>
      <c r="F224" s="7"/>
      <c r="G224" s="7"/>
      <c r="H224" s="7"/>
      <c r="I224" s="7"/>
      <c r="J224" s="7"/>
      <c r="K224" s="7"/>
      <c r="L224" s="7"/>
      <c r="M224" s="7"/>
      <c r="N224" s="7"/>
      <c r="O224" s="7"/>
      <c r="P224" s="7"/>
      <c r="Q224" s="7"/>
      <c r="R224" s="7"/>
      <c r="S224" s="7"/>
      <c r="T224" s="7"/>
      <c r="U224" s="7"/>
      <c r="V224" s="7"/>
    </row>
    <row r="225" spans="1:22" ht="12.75" customHeight="1">
      <c r="A225" s="7"/>
      <c r="B225" s="7"/>
      <c r="C225" s="8"/>
      <c r="D225" s="66"/>
      <c r="E225" s="7"/>
      <c r="F225" s="7"/>
      <c r="G225" s="7"/>
      <c r="H225" s="7"/>
      <c r="I225" s="7"/>
      <c r="J225" s="7"/>
      <c r="K225" s="7"/>
      <c r="L225" s="7"/>
      <c r="M225" s="7"/>
      <c r="N225" s="7"/>
      <c r="O225" s="7"/>
      <c r="P225" s="7"/>
      <c r="Q225" s="7"/>
      <c r="R225" s="7"/>
      <c r="S225" s="7"/>
      <c r="T225" s="7"/>
      <c r="U225" s="7"/>
      <c r="V225" s="7"/>
    </row>
    <row r="226" spans="1:22" ht="12.75" customHeight="1">
      <c r="A226" s="7"/>
      <c r="B226" s="7"/>
      <c r="C226" s="8"/>
      <c r="D226" s="66"/>
      <c r="E226" s="7"/>
      <c r="F226" s="7"/>
      <c r="G226" s="7"/>
      <c r="H226" s="7"/>
      <c r="I226" s="7"/>
      <c r="J226" s="7"/>
      <c r="K226" s="7"/>
      <c r="L226" s="7"/>
      <c r="M226" s="7"/>
      <c r="N226" s="7"/>
      <c r="O226" s="7"/>
      <c r="P226" s="7"/>
      <c r="Q226" s="7"/>
      <c r="R226" s="7"/>
      <c r="S226" s="7"/>
      <c r="T226" s="7"/>
      <c r="U226" s="7"/>
      <c r="V226" s="7"/>
    </row>
    <row r="227" spans="1:22" ht="12.75" customHeight="1">
      <c r="A227" s="7"/>
      <c r="B227" s="7"/>
      <c r="C227" s="8"/>
      <c r="D227" s="66"/>
      <c r="E227" s="7"/>
      <c r="F227" s="7"/>
      <c r="G227" s="7"/>
      <c r="H227" s="7"/>
      <c r="I227" s="7"/>
      <c r="J227" s="7"/>
      <c r="K227" s="7"/>
      <c r="L227" s="7"/>
      <c r="M227" s="7"/>
      <c r="N227" s="7"/>
      <c r="O227" s="7"/>
      <c r="P227" s="7"/>
      <c r="Q227" s="7"/>
      <c r="R227" s="7"/>
      <c r="S227" s="7"/>
      <c r="T227" s="7"/>
      <c r="U227" s="7"/>
      <c r="V227" s="7"/>
    </row>
    <row r="228" spans="1:22" ht="12.75" customHeight="1">
      <c r="A228" s="7"/>
      <c r="B228" s="7"/>
      <c r="C228" s="8"/>
      <c r="D228" s="66"/>
      <c r="E228" s="7"/>
      <c r="F228" s="7"/>
      <c r="G228" s="7"/>
      <c r="H228" s="7"/>
      <c r="I228" s="7"/>
      <c r="J228" s="7"/>
      <c r="K228" s="7"/>
      <c r="L228" s="7"/>
      <c r="M228" s="7"/>
      <c r="N228" s="7"/>
      <c r="O228" s="7"/>
      <c r="P228" s="7"/>
      <c r="Q228" s="7"/>
      <c r="R228" s="7"/>
      <c r="S228" s="7"/>
      <c r="T228" s="7"/>
      <c r="U228" s="7"/>
      <c r="V228" s="7"/>
    </row>
    <row r="229" spans="1:22" ht="12.75" customHeight="1">
      <c r="A229" s="7"/>
      <c r="B229" s="7"/>
      <c r="C229" s="8"/>
      <c r="D229" s="66"/>
      <c r="E229" s="7"/>
      <c r="F229" s="7"/>
      <c r="G229" s="7"/>
      <c r="H229" s="7"/>
      <c r="I229" s="7"/>
      <c r="J229" s="7"/>
      <c r="K229" s="7"/>
      <c r="L229" s="7"/>
      <c r="M229" s="7"/>
      <c r="N229" s="7"/>
      <c r="O229" s="7"/>
      <c r="P229" s="7"/>
      <c r="Q229" s="7"/>
      <c r="R229" s="7"/>
      <c r="S229" s="7"/>
      <c r="T229" s="7"/>
      <c r="U229" s="7"/>
      <c r="V229" s="7"/>
    </row>
    <row r="230" spans="1:22" ht="12.75" customHeight="1">
      <c r="A230" s="7"/>
      <c r="B230" s="7"/>
      <c r="C230" s="8"/>
      <c r="D230" s="66"/>
      <c r="E230" s="7"/>
      <c r="F230" s="7"/>
      <c r="G230" s="7"/>
      <c r="H230" s="7"/>
      <c r="I230" s="7"/>
      <c r="J230" s="7"/>
      <c r="K230" s="7"/>
      <c r="L230" s="7"/>
      <c r="M230" s="7"/>
      <c r="N230" s="7"/>
      <c r="O230" s="7"/>
      <c r="P230" s="7"/>
      <c r="Q230" s="7"/>
      <c r="R230" s="7"/>
      <c r="S230" s="7"/>
      <c r="T230" s="7"/>
      <c r="U230" s="7"/>
      <c r="V230" s="7"/>
    </row>
    <row r="231" spans="1:22" ht="12.75" customHeight="1">
      <c r="A231" s="7"/>
      <c r="B231" s="7"/>
      <c r="C231" s="8"/>
      <c r="D231" s="66"/>
      <c r="E231" s="7"/>
      <c r="F231" s="7"/>
      <c r="G231" s="7"/>
      <c r="H231" s="7"/>
      <c r="I231" s="7"/>
      <c r="J231" s="7"/>
      <c r="K231" s="7"/>
      <c r="L231" s="7"/>
      <c r="M231" s="7"/>
      <c r="N231" s="7"/>
      <c r="O231" s="7"/>
      <c r="P231" s="7"/>
      <c r="Q231" s="7"/>
      <c r="R231" s="7"/>
      <c r="S231" s="7"/>
      <c r="T231" s="7"/>
      <c r="U231" s="7"/>
      <c r="V231" s="7"/>
    </row>
    <row r="232" spans="1:22" ht="12.75" customHeight="1">
      <c r="A232" s="7"/>
      <c r="B232" s="7"/>
      <c r="C232" s="8"/>
      <c r="D232" s="66"/>
      <c r="E232" s="7"/>
      <c r="F232" s="7"/>
      <c r="G232" s="7"/>
      <c r="H232" s="7"/>
      <c r="I232" s="7"/>
      <c r="J232" s="7"/>
      <c r="K232" s="7"/>
      <c r="L232" s="7"/>
      <c r="M232" s="7"/>
      <c r="N232" s="7"/>
      <c r="O232" s="7"/>
      <c r="P232" s="7"/>
      <c r="Q232" s="7"/>
      <c r="R232" s="7"/>
      <c r="S232" s="7"/>
      <c r="T232" s="7"/>
      <c r="U232" s="7"/>
      <c r="V232" s="7"/>
    </row>
    <row r="233" spans="1:22" ht="12.75" customHeight="1">
      <c r="A233" s="7"/>
      <c r="B233" s="7"/>
      <c r="C233" s="8"/>
      <c r="D233" s="66"/>
      <c r="E233" s="7"/>
      <c r="F233" s="7"/>
      <c r="G233" s="7"/>
      <c r="H233" s="7"/>
      <c r="I233" s="7"/>
      <c r="J233" s="7"/>
      <c r="K233" s="7"/>
      <c r="L233" s="7"/>
      <c r="M233" s="7"/>
      <c r="N233" s="7"/>
      <c r="O233" s="7"/>
      <c r="P233" s="7"/>
      <c r="Q233" s="7"/>
      <c r="R233" s="7"/>
      <c r="S233" s="7"/>
      <c r="T233" s="7"/>
      <c r="U233" s="7"/>
      <c r="V233" s="7"/>
    </row>
    <row r="234" spans="1:22" ht="12.75" customHeight="1">
      <c r="A234" s="7"/>
      <c r="B234" s="7"/>
      <c r="C234" s="8"/>
      <c r="D234" s="66"/>
      <c r="E234" s="7"/>
      <c r="F234" s="7"/>
      <c r="G234" s="7"/>
      <c r="H234" s="7"/>
      <c r="I234" s="7"/>
      <c r="J234" s="7"/>
      <c r="K234" s="7"/>
      <c r="L234" s="7"/>
      <c r="M234" s="7"/>
      <c r="N234" s="7"/>
      <c r="O234" s="7"/>
      <c r="P234" s="7"/>
      <c r="Q234" s="7"/>
      <c r="R234" s="7"/>
      <c r="S234" s="7"/>
      <c r="T234" s="7"/>
      <c r="U234" s="7"/>
      <c r="V234" s="7"/>
    </row>
    <row r="235" spans="1:22" ht="12.75" customHeight="1">
      <c r="A235" s="7"/>
      <c r="B235" s="7"/>
      <c r="C235" s="8"/>
      <c r="D235" s="66"/>
      <c r="E235" s="7"/>
      <c r="F235" s="7"/>
      <c r="G235" s="7"/>
      <c r="H235" s="7"/>
      <c r="I235" s="7"/>
      <c r="J235" s="7"/>
      <c r="K235" s="7"/>
      <c r="L235" s="7"/>
      <c r="M235" s="7"/>
      <c r="N235" s="7"/>
      <c r="O235" s="7"/>
      <c r="P235" s="7"/>
      <c r="Q235" s="7"/>
      <c r="R235" s="7"/>
      <c r="S235" s="7"/>
      <c r="T235" s="7"/>
      <c r="U235" s="7"/>
      <c r="V235" s="7"/>
    </row>
    <row r="236" spans="1:22" ht="12.75" customHeight="1">
      <c r="A236" s="7"/>
      <c r="B236" s="7"/>
      <c r="C236" s="8"/>
      <c r="D236" s="66"/>
      <c r="E236" s="7"/>
      <c r="F236" s="7"/>
      <c r="G236" s="7"/>
      <c r="H236" s="7"/>
      <c r="I236" s="7"/>
      <c r="J236" s="7"/>
      <c r="K236" s="7"/>
      <c r="L236" s="7"/>
      <c r="M236" s="7"/>
      <c r="N236" s="7"/>
      <c r="O236" s="7"/>
      <c r="P236" s="7"/>
      <c r="Q236" s="7"/>
      <c r="R236" s="7"/>
      <c r="S236" s="7"/>
      <c r="T236" s="7"/>
      <c r="U236" s="7"/>
      <c r="V236" s="7"/>
    </row>
    <row r="237" spans="1:22" ht="12.75" customHeight="1">
      <c r="A237" s="7"/>
      <c r="B237" s="7"/>
      <c r="C237" s="8"/>
      <c r="D237" s="66"/>
      <c r="E237" s="7"/>
      <c r="F237" s="7"/>
      <c r="G237" s="7"/>
      <c r="H237" s="7"/>
      <c r="I237" s="7"/>
      <c r="J237" s="7"/>
      <c r="K237" s="7"/>
      <c r="L237" s="7"/>
      <c r="M237" s="7"/>
      <c r="N237" s="7"/>
      <c r="O237" s="7"/>
      <c r="P237" s="7"/>
      <c r="Q237" s="7"/>
      <c r="R237" s="7"/>
      <c r="S237" s="7"/>
      <c r="T237" s="7"/>
      <c r="U237" s="7"/>
      <c r="V237" s="7"/>
    </row>
    <row r="238" spans="1:22" ht="12.75" customHeight="1">
      <c r="A238" s="7"/>
      <c r="B238" s="7"/>
      <c r="C238" s="8"/>
      <c r="D238" s="66"/>
      <c r="E238" s="7"/>
      <c r="F238" s="7"/>
      <c r="G238" s="7"/>
      <c r="H238" s="7"/>
      <c r="I238" s="7"/>
      <c r="J238" s="7"/>
      <c r="K238" s="7"/>
      <c r="L238" s="7"/>
      <c r="M238" s="7"/>
      <c r="N238" s="7"/>
      <c r="O238" s="7"/>
      <c r="P238" s="7"/>
      <c r="Q238" s="7"/>
      <c r="R238" s="7"/>
      <c r="S238" s="7"/>
      <c r="T238" s="7"/>
      <c r="U238" s="7"/>
      <c r="V238" s="7"/>
    </row>
    <row r="239" spans="1:22" ht="12.75" customHeight="1">
      <c r="A239" s="7"/>
      <c r="B239" s="7"/>
      <c r="C239" s="8"/>
      <c r="D239" s="66"/>
      <c r="E239" s="7"/>
      <c r="F239" s="7"/>
      <c r="G239" s="7"/>
      <c r="H239" s="7"/>
      <c r="I239" s="7"/>
      <c r="J239" s="7"/>
      <c r="K239" s="7"/>
      <c r="L239" s="7"/>
      <c r="M239" s="7"/>
      <c r="N239" s="7"/>
      <c r="O239" s="7"/>
      <c r="P239" s="7"/>
      <c r="Q239" s="7"/>
      <c r="R239" s="7"/>
      <c r="S239" s="7"/>
      <c r="T239" s="7"/>
      <c r="U239" s="7"/>
      <c r="V239" s="7"/>
    </row>
    <row r="240" spans="1:22" ht="12.75" customHeight="1">
      <c r="A240" s="7"/>
      <c r="B240" s="7"/>
      <c r="C240" s="8"/>
      <c r="D240" s="66"/>
      <c r="E240" s="7"/>
      <c r="F240" s="7"/>
      <c r="G240" s="7"/>
      <c r="H240" s="7"/>
      <c r="I240" s="7"/>
      <c r="J240" s="7"/>
      <c r="K240" s="7"/>
      <c r="L240" s="7"/>
      <c r="M240" s="7"/>
      <c r="N240" s="7"/>
      <c r="O240" s="7"/>
      <c r="P240" s="7"/>
      <c r="Q240" s="7"/>
      <c r="R240" s="7"/>
      <c r="S240" s="7"/>
      <c r="T240" s="7"/>
      <c r="U240" s="7"/>
      <c r="V240" s="7"/>
    </row>
    <row r="241" spans="1:22" ht="12.75" customHeight="1">
      <c r="A241" s="7"/>
      <c r="B241" s="7"/>
      <c r="C241" s="8"/>
      <c r="D241" s="66"/>
      <c r="E241" s="7"/>
      <c r="F241" s="7"/>
      <c r="G241" s="7"/>
      <c r="H241" s="7"/>
      <c r="I241" s="7"/>
      <c r="J241" s="7"/>
      <c r="K241" s="7"/>
      <c r="L241" s="7"/>
      <c r="M241" s="7"/>
      <c r="N241" s="7"/>
      <c r="O241" s="7"/>
      <c r="P241" s="7"/>
      <c r="Q241" s="7"/>
      <c r="R241" s="7"/>
      <c r="S241" s="7"/>
      <c r="T241" s="7"/>
      <c r="U241" s="7"/>
      <c r="V241" s="7"/>
    </row>
    <row r="242" spans="1:22" ht="12.75" customHeight="1">
      <c r="A242" s="7"/>
      <c r="B242" s="7"/>
      <c r="C242" s="8"/>
      <c r="D242" s="66"/>
      <c r="E242" s="7"/>
      <c r="F242" s="7"/>
      <c r="G242" s="7"/>
      <c r="H242" s="7"/>
      <c r="I242" s="7"/>
      <c r="J242" s="7"/>
      <c r="K242" s="7"/>
      <c r="L242" s="7"/>
      <c r="M242" s="7"/>
      <c r="N242" s="7"/>
      <c r="O242" s="7"/>
      <c r="P242" s="7"/>
      <c r="Q242" s="7"/>
      <c r="R242" s="7"/>
      <c r="S242" s="7"/>
      <c r="T242" s="7"/>
      <c r="U242" s="7"/>
      <c r="V242" s="7"/>
    </row>
    <row r="243" spans="1:22" ht="12.75" customHeight="1">
      <c r="A243" s="7"/>
      <c r="B243" s="7"/>
      <c r="C243" s="8"/>
      <c r="D243" s="66"/>
      <c r="E243" s="7"/>
      <c r="F243" s="7"/>
      <c r="G243" s="7"/>
      <c r="H243" s="7"/>
      <c r="I243" s="7"/>
      <c r="J243" s="7"/>
      <c r="K243" s="7"/>
      <c r="L243" s="7"/>
      <c r="M243" s="7"/>
      <c r="N243" s="7"/>
      <c r="O243" s="7"/>
      <c r="P243" s="7"/>
      <c r="Q243" s="7"/>
      <c r="R243" s="7"/>
      <c r="S243" s="7"/>
      <c r="T243" s="7"/>
      <c r="U243" s="7"/>
      <c r="V243" s="7"/>
    </row>
    <row r="244" spans="1:22" ht="12.75" customHeight="1">
      <c r="A244" s="7"/>
      <c r="B244" s="7"/>
      <c r="C244" s="8"/>
      <c r="D244" s="66"/>
      <c r="E244" s="7"/>
      <c r="F244" s="7"/>
      <c r="G244" s="7"/>
      <c r="H244" s="7"/>
      <c r="I244" s="7"/>
      <c r="J244" s="7"/>
      <c r="K244" s="7"/>
      <c r="L244" s="7"/>
      <c r="M244" s="7"/>
      <c r="N244" s="7"/>
      <c r="O244" s="7"/>
      <c r="P244" s="7"/>
      <c r="Q244" s="7"/>
      <c r="R244" s="7"/>
      <c r="S244" s="7"/>
      <c r="T244" s="7"/>
      <c r="U244" s="7"/>
      <c r="V244" s="7"/>
    </row>
    <row r="245" spans="1:22" ht="12.75" customHeight="1">
      <c r="A245" s="7"/>
      <c r="B245" s="7"/>
      <c r="C245" s="8"/>
      <c r="D245" s="66"/>
      <c r="E245" s="7"/>
      <c r="F245" s="7"/>
      <c r="G245" s="7"/>
      <c r="H245" s="7"/>
      <c r="I245" s="7"/>
      <c r="J245" s="7"/>
      <c r="K245" s="7"/>
      <c r="L245" s="7"/>
      <c r="M245" s="7"/>
      <c r="N245" s="7"/>
      <c r="O245" s="7"/>
      <c r="P245" s="7"/>
      <c r="Q245" s="7"/>
      <c r="R245" s="7"/>
      <c r="S245" s="7"/>
      <c r="T245" s="7"/>
      <c r="U245" s="7"/>
      <c r="V245" s="7"/>
    </row>
    <row r="246" spans="1:22" ht="12.75" customHeight="1">
      <c r="A246" s="7"/>
      <c r="B246" s="7"/>
      <c r="C246" s="8"/>
      <c r="D246" s="66"/>
      <c r="E246" s="7"/>
      <c r="F246" s="7"/>
      <c r="G246" s="7"/>
      <c r="H246" s="7"/>
      <c r="I246" s="7"/>
      <c r="J246" s="7"/>
      <c r="K246" s="7"/>
      <c r="L246" s="7"/>
      <c r="M246" s="7"/>
      <c r="N246" s="7"/>
      <c r="O246" s="7"/>
      <c r="P246" s="7"/>
      <c r="Q246" s="7"/>
      <c r="R246" s="7"/>
      <c r="S246" s="7"/>
      <c r="T246" s="7"/>
      <c r="U246" s="7"/>
      <c r="V246" s="7"/>
    </row>
    <row r="247" spans="1:22" ht="12.75" customHeight="1">
      <c r="A247" s="7"/>
      <c r="B247" s="7"/>
      <c r="C247" s="8"/>
      <c r="D247" s="66"/>
      <c r="E247" s="7"/>
      <c r="F247" s="7"/>
      <c r="G247" s="7"/>
      <c r="H247" s="7"/>
      <c r="I247" s="7"/>
      <c r="J247" s="7"/>
      <c r="K247" s="7"/>
      <c r="L247" s="7"/>
      <c r="M247" s="7"/>
      <c r="N247" s="7"/>
      <c r="O247" s="7"/>
      <c r="P247" s="7"/>
      <c r="Q247" s="7"/>
      <c r="R247" s="7"/>
      <c r="S247" s="7"/>
      <c r="T247" s="7"/>
      <c r="U247" s="7"/>
      <c r="V247" s="7"/>
    </row>
    <row r="248" spans="1:22" ht="12.75" customHeight="1">
      <c r="A248" s="7"/>
      <c r="B248" s="7"/>
      <c r="C248" s="8"/>
      <c r="D248" s="66"/>
      <c r="E248" s="7"/>
      <c r="F248" s="7"/>
      <c r="G248" s="7"/>
      <c r="H248" s="7"/>
      <c r="I248" s="7"/>
      <c r="J248" s="7"/>
      <c r="K248" s="7"/>
      <c r="L248" s="7"/>
      <c r="M248" s="7"/>
      <c r="N248" s="7"/>
      <c r="O248" s="7"/>
      <c r="P248" s="7"/>
      <c r="Q248" s="7"/>
      <c r="R248" s="7"/>
      <c r="S248" s="7"/>
      <c r="T248" s="7"/>
      <c r="U248" s="7"/>
      <c r="V248" s="7"/>
    </row>
    <row r="249" spans="1:22" ht="12.75" customHeight="1">
      <c r="A249" s="7"/>
      <c r="B249" s="7"/>
      <c r="C249" s="8"/>
      <c r="D249" s="66"/>
      <c r="E249" s="7"/>
      <c r="F249" s="7"/>
      <c r="G249" s="7"/>
      <c r="H249" s="7"/>
      <c r="I249" s="7"/>
      <c r="J249" s="7"/>
      <c r="K249" s="7"/>
      <c r="L249" s="7"/>
      <c r="M249" s="7"/>
      <c r="N249" s="7"/>
      <c r="O249" s="7"/>
      <c r="P249" s="7"/>
      <c r="Q249" s="7"/>
      <c r="R249" s="7"/>
      <c r="S249" s="7"/>
      <c r="T249" s="7"/>
      <c r="U249" s="7"/>
      <c r="V249" s="7"/>
    </row>
    <row r="250" spans="1:22" ht="12.75" customHeight="1">
      <c r="A250" s="7"/>
      <c r="B250" s="7"/>
      <c r="C250" s="8"/>
      <c r="D250" s="66"/>
      <c r="E250" s="7"/>
      <c r="F250" s="7"/>
      <c r="G250" s="7"/>
      <c r="H250" s="7"/>
      <c r="I250" s="7"/>
      <c r="J250" s="7"/>
      <c r="K250" s="7"/>
      <c r="L250" s="7"/>
      <c r="M250" s="7"/>
      <c r="N250" s="7"/>
      <c r="O250" s="7"/>
      <c r="P250" s="7"/>
      <c r="Q250" s="7"/>
      <c r="R250" s="7"/>
      <c r="S250" s="7"/>
      <c r="T250" s="7"/>
      <c r="U250" s="7"/>
      <c r="V250" s="7"/>
    </row>
    <row r="251" spans="1:22" ht="12.75" customHeight="1">
      <c r="A251" s="7"/>
      <c r="B251" s="7"/>
      <c r="C251" s="8"/>
      <c r="D251" s="66"/>
      <c r="E251" s="7"/>
      <c r="F251" s="7"/>
      <c r="G251" s="7"/>
      <c r="H251" s="7"/>
      <c r="I251" s="7"/>
      <c r="J251" s="7"/>
      <c r="K251" s="7"/>
      <c r="L251" s="7"/>
      <c r="M251" s="7"/>
      <c r="N251" s="7"/>
      <c r="O251" s="7"/>
      <c r="P251" s="7"/>
      <c r="Q251" s="7"/>
      <c r="R251" s="7"/>
      <c r="S251" s="7"/>
      <c r="T251" s="7"/>
      <c r="U251" s="7"/>
      <c r="V251" s="7"/>
    </row>
    <row r="252" spans="1:22" ht="12.75" customHeight="1">
      <c r="A252" s="7"/>
      <c r="B252" s="7"/>
      <c r="C252" s="8"/>
      <c r="D252" s="66"/>
      <c r="E252" s="7"/>
      <c r="F252" s="7"/>
      <c r="G252" s="7"/>
      <c r="H252" s="7"/>
      <c r="I252" s="7"/>
      <c r="J252" s="7"/>
      <c r="K252" s="7"/>
      <c r="L252" s="7"/>
      <c r="M252" s="7"/>
      <c r="N252" s="7"/>
      <c r="O252" s="7"/>
      <c r="P252" s="7"/>
      <c r="Q252" s="7"/>
      <c r="R252" s="7"/>
      <c r="S252" s="7"/>
      <c r="T252" s="7"/>
      <c r="U252" s="7"/>
      <c r="V252" s="7"/>
    </row>
    <row r="253" spans="1:22" ht="12.75" customHeight="1">
      <c r="A253" s="7"/>
      <c r="B253" s="7"/>
      <c r="C253" s="8"/>
      <c r="D253" s="66"/>
      <c r="E253" s="7"/>
      <c r="F253" s="7"/>
      <c r="G253" s="7"/>
      <c r="H253" s="7"/>
      <c r="I253" s="7"/>
      <c r="J253" s="7"/>
      <c r="K253" s="7"/>
      <c r="L253" s="7"/>
      <c r="M253" s="7"/>
      <c r="N253" s="7"/>
      <c r="O253" s="7"/>
      <c r="P253" s="7"/>
      <c r="Q253" s="7"/>
      <c r="R253" s="7"/>
      <c r="S253" s="7"/>
      <c r="T253" s="7"/>
      <c r="U253" s="7"/>
      <c r="V253" s="7"/>
    </row>
    <row r="254" spans="1:22" ht="12.75" customHeight="1">
      <c r="A254" s="7"/>
      <c r="B254" s="7"/>
      <c r="C254" s="8"/>
      <c r="D254" s="66"/>
      <c r="E254" s="7"/>
      <c r="F254" s="7"/>
      <c r="G254" s="7"/>
      <c r="H254" s="7"/>
      <c r="I254" s="7"/>
      <c r="J254" s="7"/>
      <c r="K254" s="7"/>
      <c r="L254" s="7"/>
      <c r="M254" s="7"/>
      <c r="N254" s="7"/>
      <c r="O254" s="7"/>
      <c r="P254" s="7"/>
      <c r="Q254" s="7"/>
      <c r="R254" s="7"/>
      <c r="S254" s="7"/>
      <c r="T254" s="7"/>
      <c r="U254" s="7"/>
      <c r="V254" s="7"/>
    </row>
    <row r="255" spans="1:22" ht="12.75" customHeight="1">
      <c r="A255" s="7"/>
      <c r="B255" s="7"/>
      <c r="C255" s="8"/>
      <c r="D255" s="66"/>
      <c r="E255" s="7"/>
      <c r="F255" s="7"/>
      <c r="G255" s="7"/>
      <c r="H255" s="7"/>
      <c r="I255" s="7"/>
      <c r="J255" s="7"/>
      <c r="K255" s="7"/>
      <c r="L255" s="7"/>
      <c r="M255" s="7"/>
      <c r="N255" s="7"/>
      <c r="O255" s="7"/>
      <c r="P255" s="7"/>
      <c r="Q255" s="7"/>
      <c r="R255" s="7"/>
      <c r="S255" s="7"/>
      <c r="T255" s="7"/>
      <c r="U255" s="7"/>
      <c r="V255" s="7"/>
    </row>
    <row r="256" spans="1:22" ht="12.75" customHeight="1">
      <c r="A256" s="7"/>
      <c r="B256" s="7"/>
      <c r="C256" s="8"/>
      <c r="D256" s="66"/>
      <c r="E256" s="7"/>
      <c r="F256" s="7"/>
      <c r="G256" s="7"/>
      <c r="H256" s="7"/>
      <c r="I256" s="7"/>
      <c r="J256" s="7"/>
      <c r="K256" s="7"/>
      <c r="L256" s="7"/>
      <c r="M256" s="7"/>
      <c r="N256" s="7"/>
      <c r="O256" s="7"/>
      <c r="P256" s="7"/>
      <c r="Q256" s="7"/>
      <c r="R256" s="7"/>
      <c r="S256" s="7"/>
      <c r="T256" s="7"/>
      <c r="U256" s="7"/>
      <c r="V256" s="7"/>
    </row>
    <row r="257" spans="1:22" ht="12.75" customHeight="1">
      <c r="A257" s="7"/>
      <c r="B257" s="7"/>
      <c r="C257" s="8"/>
      <c r="D257" s="66"/>
      <c r="E257" s="7"/>
      <c r="F257" s="7"/>
      <c r="G257" s="7"/>
      <c r="H257" s="7"/>
      <c r="I257" s="7"/>
      <c r="J257" s="7"/>
      <c r="K257" s="7"/>
      <c r="L257" s="7"/>
      <c r="M257" s="7"/>
      <c r="N257" s="7"/>
      <c r="O257" s="7"/>
      <c r="P257" s="7"/>
      <c r="Q257" s="7"/>
      <c r="R257" s="7"/>
      <c r="S257" s="7"/>
      <c r="T257" s="7"/>
      <c r="U257" s="7"/>
      <c r="V257" s="7"/>
    </row>
    <row r="258" spans="1:22" ht="12.75" customHeight="1">
      <c r="A258" s="7"/>
      <c r="B258" s="7"/>
      <c r="C258" s="8"/>
      <c r="D258" s="66"/>
      <c r="E258" s="7"/>
      <c r="F258" s="7"/>
      <c r="G258" s="7"/>
      <c r="H258" s="7"/>
      <c r="I258" s="7"/>
      <c r="J258" s="7"/>
      <c r="K258" s="7"/>
      <c r="L258" s="7"/>
      <c r="M258" s="7"/>
      <c r="N258" s="7"/>
      <c r="O258" s="7"/>
      <c r="P258" s="7"/>
      <c r="Q258" s="7"/>
      <c r="R258" s="7"/>
      <c r="S258" s="7"/>
      <c r="T258" s="7"/>
      <c r="U258" s="7"/>
      <c r="V258" s="7"/>
    </row>
    <row r="259" spans="1:22" ht="12.75" customHeight="1">
      <c r="A259" s="7"/>
      <c r="B259" s="7"/>
      <c r="C259" s="8"/>
      <c r="D259" s="66"/>
      <c r="E259" s="7"/>
      <c r="F259" s="7"/>
      <c r="G259" s="7"/>
      <c r="H259" s="7"/>
      <c r="I259" s="7"/>
      <c r="J259" s="7"/>
      <c r="K259" s="7"/>
      <c r="L259" s="7"/>
      <c r="M259" s="7"/>
      <c r="N259" s="7"/>
      <c r="O259" s="7"/>
      <c r="P259" s="7"/>
      <c r="Q259" s="7"/>
      <c r="R259" s="7"/>
      <c r="S259" s="7"/>
      <c r="T259" s="7"/>
      <c r="U259" s="7"/>
      <c r="V259" s="7"/>
    </row>
    <row r="260" spans="1:22" ht="12.75" customHeight="1">
      <c r="A260" s="7"/>
      <c r="B260" s="7"/>
      <c r="C260" s="8"/>
      <c r="D260" s="66"/>
      <c r="E260" s="7"/>
      <c r="F260" s="7"/>
      <c r="G260" s="7"/>
      <c r="H260" s="7"/>
      <c r="I260" s="7"/>
      <c r="J260" s="7"/>
      <c r="K260" s="7"/>
      <c r="L260" s="7"/>
      <c r="M260" s="7"/>
      <c r="N260" s="7"/>
      <c r="O260" s="7"/>
      <c r="P260" s="7"/>
      <c r="Q260" s="7"/>
      <c r="R260" s="7"/>
      <c r="S260" s="7"/>
      <c r="T260" s="7"/>
      <c r="U260" s="7"/>
      <c r="V260" s="7"/>
    </row>
    <row r="261" spans="1:22" ht="12.75" customHeight="1">
      <c r="A261" s="7"/>
      <c r="B261" s="7"/>
      <c r="C261" s="8"/>
      <c r="D261" s="66"/>
      <c r="E261" s="7"/>
      <c r="F261" s="7"/>
      <c r="G261" s="7"/>
      <c r="H261" s="7"/>
      <c r="I261" s="7"/>
      <c r="J261" s="7"/>
      <c r="K261" s="7"/>
      <c r="L261" s="7"/>
      <c r="M261" s="7"/>
      <c r="N261" s="7"/>
      <c r="O261" s="7"/>
      <c r="P261" s="7"/>
      <c r="Q261" s="7"/>
      <c r="R261" s="7"/>
      <c r="S261" s="7"/>
      <c r="T261" s="7"/>
      <c r="U261" s="7"/>
      <c r="V261" s="7"/>
    </row>
    <row r="262" spans="1:22" ht="12.75" customHeight="1">
      <c r="A262" s="7"/>
      <c r="B262" s="7"/>
      <c r="C262" s="8"/>
      <c r="D262" s="66"/>
      <c r="E262" s="7"/>
      <c r="F262" s="7"/>
      <c r="G262" s="7"/>
      <c r="H262" s="7"/>
      <c r="I262" s="7"/>
      <c r="J262" s="7"/>
      <c r="K262" s="7"/>
      <c r="L262" s="7"/>
      <c r="M262" s="7"/>
      <c r="N262" s="7"/>
      <c r="O262" s="7"/>
      <c r="P262" s="7"/>
      <c r="Q262" s="7"/>
      <c r="R262" s="7"/>
      <c r="S262" s="7"/>
      <c r="T262" s="7"/>
      <c r="U262" s="7"/>
      <c r="V262" s="7"/>
    </row>
    <row r="263" spans="1:22" ht="12.75" customHeight="1">
      <c r="A263" s="7"/>
      <c r="B263" s="7"/>
      <c r="C263" s="8"/>
      <c r="D263" s="66"/>
      <c r="E263" s="7"/>
      <c r="F263" s="7"/>
      <c r="G263" s="7"/>
      <c r="H263" s="7"/>
      <c r="I263" s="7"/>
      <c r="J263" s="7"/>
      <c r="K263" s="7"/>
      <c r="L263" s="7"/>
      <c r="M263" s="7"/>
      <c r="N263" s="7"/>
      <c r="O263" s="7"/>
      <c r="P263" s="7"/>
      <c r="Q263" s="7"/>
      <c r="R263" s="7"/>
      <c r="S263" s="7"/>
      <c r="T263" s="7"/>
      <c r="U263" s="7"/>
      <c r="V263" s="7"/>
    </row>
    <row r="264" spans="1:22" ht="12.75" customHeight="1">
      <c r="A264" s="7"/>
      <c r="B264" s="7"/>
      <c r="C264" s="8"/>
      <c r="D264" s="66"/>
      <c r="E264" s="7"/>
      <c r="F264" s="7"/>
      <c r="G264" s="7"/>
      <c r="H264" s="7"/>
      <c r="I264" s="7"/>
      <c r="J264" s="7"/>
      <c r="K264" s="7"/>
      <c r="L264" s="7"/>
      <c r="M264" s="7"/>
      <c r="N264" s="7"/>
      <c r="O264" s="7"/>
      <c r="P264" s="7"/>
      <c r="Q264" s="7"/>
      <c r="R264" s="7"/>
      <c r="S264" s="7"/>
      <c r="T264" s="7"/>
      <c r="U264" s="7"/>
      <c r="V264" s="7"/>
    </row>
    <row r="265" spans="1:22" ht="12.75" customHeight="1">
      <c r="A265" s="7"/>
      <c r="B265" s="7"/>
      <c r="C265" s="8"/>
      <c r="D265" s="66"/>
      <c r="E265" s="7"/>
      <c r="F265" s="7"/>
      <c r="G265" s="7"/>
      <c r="H265" s="7"/>
      <c r="I265" s="7"/>
      <c r="J265" s="7"/>
      <c r="K265" s="7"/>
      <c r="L265" s="7"/>
      <c r="M265" s="7"/>
      <c r="N265" s="7"/>
      <c r="O265" s="7"/>
      <c r="P265" s="7"/>
      <c r="Q265" s="7"/>
      <c r="R265" s="7"/>
      <c r="S265" s="7"/>
      <c r="T265" s="7"/>
      <c r="U265" s="7"/>
      <c r="V265" s="7"/>
    </row>
    <row r="266" spans="1:22" ht="12.75" customHeight="1">
      <c r="A266" s="7"/>
      <c r="B266" s="7"/>
      <c r="C266" s="8"/>
      <c r="D266" s="66"/>
      <c r="E266" s="7"/>
      <c r="F266" s="7"/>
      <c r="G266" s="7"/>
      <c r="H266" s="7"/>
      <c r="I266" s="7"/>
      <c r="J266" s="7"/>
      <c r="K266" s="7"/>
      <c r="L266" s="7"/>
      <c r="M266" s="7"/>
      <c r="N266" s="7"/>
      <c r="O266" s="7"/>
      <c r="P266" s="7"/>
      <c r="Q266" s="7"/>
      <c r="R266" s="7"/>
      <c r="S266" s="7"/>
      <c r="T266" s="7"/>
      <c r="U266" s="7"/>
      <c r="V266" s="7"/>
    </row>
    <row r="267" spans="1:22" ht="12.75" customHeight="1">
      <c r="A267" s="7"/>
      <c r="B267" s="7"/>
      <c r="C267" s="8"/>
      <c r="D267" s="66"/>
      <c r="E267" s="7"/>
      <c r="F267" s="7"/>
      <c r="G267" s="7"/>
      <c r="H267" s="7"/>
      <c r="I267" s="7"/>
      <c r="J267" s="7"/>
      <c r="K267" s="7"/>
      <c r="L267" s="7"/>
      <c r="M267" s="7"/>
      <c r="N267" s="7"/>
      <c r="O267" s="7"/>
      <c r="P267" s="7"/>
      <c r="Q267" s="7"/>
      <c r="R267" s="7"/>
      <c r="S267" s="7"/>
      <c r="T267" s="7"/>
      <c r="U267" s="7"/>
      <c r="V267" s="7"/>
    </row>
    <row r="268" spans="1:22" ht="12.75" customHeight="1">
      <c r="A268" s="7"/>
      <c r="B268" s="7"/>
      <c r="C268" s="8"/>
      <c r="D268" s="66"/>
      <c r="E268" s="7"/>
      <c r="F268" s="7"/>
      <c r="G268" s="7"/>
      <c r="H268" s="7"/>
      <c r="I268" s="7"/>
      <c r="J268" s="7"/>
      <c r="K268" s="7"/>
      <c r="L268" s="7"/>
      <c r="M268" s="7"/>
      <c r="N268" s="7"/>
      <c r="O268" s="7"/>
      <c r="P268" s="7"/>
      <c r="Q268" s="7"/>
      <c r="R268" s="7"/>
      <c r="S268" s="7"/>
      <c r="T268" s="7"/>
      <c r="U268" s="7"/>
      <c r="V268" s="7"/>
    </row>
    <row r="269" spans="1:22" ht="12.75" customHeight="1">
      <c r="A269" s="7"/>
      <c r="B269" s="7"/>
      <c r="C269" s="8"/>
      <c r="D269" s="66"/>
      <c r="E269" s="7"/>
      <c r="F269" s="7"/>
      <c r="G269" s="7"/>
      <c r="H269" s="7"/>
      <c r="I269" s="7"/>
      <c r="J269" s="7"/>
      <c r="K269" s="7"/>
      <c r="L269" s="7"/>
      <c r="M269" s="7"/>
      <c r="N269" s="7"/>
      <c r="O269" s="7"/>
      <c r="P269" s="7"/>
      <c r="Q269" s="7"/>
      <c r="R269" s="7"/>
      <c r="S269" s="7"/>
      <c r="T269" s="7"/>
      <c r="U269" s="7"/>
      <c r="V269" s="7"/>
    </row>
    <row r="270" spans="1:22" ht="12.75" customHeight="1">
      <c r="A270" s="7"/>
      <c r="B270" s="7"/>
      <c r="C270" s="8"/>
      <c r="D270" s="66"/>
      <c r="E270" s="7"/>
      <c r="F270" s="7"/>
      <c r="G270" s="7"/>
      <c r="H270" s="7"/>
      <c r="I270" s="7"/>
      <c r="J270" s="7"/>
      <c r="K270" s="7"/>
      <c r="L270" s="7"/>
      <c r="M270" s="7"/>
      <c r="N270" s="7"/>
      <c r="O270" s="7"/>
      <c r="P270" s="7"/>
      <c r="Q270" s="7"/>
      <c r="R270" s="7"/>
      <c r="S270" s="7"/>
      <c r="T270" s="7"/>
      <c r="U270" s="7"/>
      <c r="V270" s="7"/>
    </row>
    <row r="271" spans="1:22" ht="12.75" customHeight="1">
      <c r="A271" s="7"/>
      <c r="B271" s="7"/>
      <c r="C271" s="8"/>
      <c r="D271" s="66"/>
      <c r="E271" s="7"/>
      <c r="F271" s="7"/>
      <c r="G271" s="7"/>
      <c r="H271" s="7"/>
      <c r="I271" s="7"/>
      <c r="J271" s="7"/>
      <c r="K271" s="7"/>
      <c r="L271" s="7"/>
      <c r="M271" s="7"/>
      <c r="N271" s="7"/>
      <c r="O271" s="7"/>
      <c r="P271" s="7"/>
      <c r="Q271" s="7"/>
      <c r="R271" s="7"/>
      <c r="S271" s="7"/>
      <c r="T271" s="7"/>
      <c r="U271" s="7"/>
      <c r="V271" s="7"/>
    </row>
    <row r="272" spans="1:22" ht="12.75" customHeight="1">
      <c r="A272" s="7"/>
      <c r="B272" s="7"/>
      <c r="C272" s="8"/>
      <c r="D272" s="66"/>
      <c r="E272" s="7"/>
      <c r="F272" s="7"/>
      <c r="G272" s="7"/>
      <c r="H272" s="7"/>
      <c r="I272" s="7"/>
      <c r="J272" s="7"/>
      <c r="K272" s="7"/>
      <c r="L272" s="7"/>
      <c r="M272" s="7"/>
      <c r="N272" s="7"/>
      <c r="O272" s="7"/>
      <c r="P272" s="7"/>
      <c r="Q272" s="7"/>
      <c r="R272" s="7"/>
      <c r="S272" s="7"/>
      <c r="T272" s="7"/>
      <c r="U272" s="7"/>
      <c r="V272" s="7"/>
    </row>
    <row r="273" spans="1:22" ht="12.75" customHeight="1">
      <c r="A273" s="7"/>
      <c r="B273" s="7"/>
      <c r="C273" s="8"/>
      <c r="D273" s="66"/>
      <c r="E273" s="7"/>
      <c r="F273" s="7"/>
      <c r="G273" s="7"/>
      <c r="H273" s="7"/>
      <c r="I273" s="7"/>
      <c r="J273" s="7"/>
      <c r="K273" s="7"/>
      <c r="L273" s="7"/>
      <c r="M273" s="7"/>
      <c r="N273" s="7"/>
      <c r="O273" s="7"/>
      <c r="P273" s="7"/>
      <c r="Q273" s="7"/>
      <c r="R273" s="7"/>
      <c r="S273" s="7"/>
      <c r="T273" s="7"/>
      <c r="U273" s="7"/>
      <c r="V273" s="7"/>
    </row>
    <row r="274" spans="1:22" ht="12.75" customHeight="1">
      <c r="A274" s="7"/>
      <c r="B274" s="7"/>
      <c r="C274" s="8"/>
      <c r="D274" s="66"/>
      <c r="E274" s="7"/>
      <c r="F274" s="7"/>
      <c r="G274" s="7"/>
      <c r="H274" s="7"/>
      <c r="I274" s="7"/>
      <c r="J274" s="7"/>
      <c r="K274" s="7"/>
      <c r="L274" s="7"/>
      <c r="M274" s="7"/>
      <c r="N274" s="7"/>
      <c r="O274" s="7"/>
      <c r="P274" s="7"/>
      <c r="Q274" s="7"/>
      <c r="R274" s="7"/>
      <c r="S274" s="7"/>
      <c r="T274" s="7"/>
      <c r="U274" s="7"/>
      <c r="V274" s="7"/>
    </row>
    <row r="275" spans="1:22" ht="12.75" customHeight="1">
      <c r="A275" s="7"/>
      <c r="B275" s="7"/>
      <c r="C275" s="8"/>
      <c r="D275" s="66"/>
      <c r="E275" s="7"/>
      <c r="F275" s="7"/>
      <c r="G275" s="7"/>
      <c r="H275" s="7"/>
      <c r="I275" s="7"/>
      <c r="J275" s="7"/>
      <c r="K275" s="7"/>
      <c r="L275" s="7"/>
      <c r="M275" s="7"/>
      <c r="N275" s="7"/>
      <c r="O275" s="7"/>
      <c r="P275" s="7"/>
      <c r="Q275" s="7"/>
      <c r="R275" s="7"/>
      <c r="S275" s="7"/>
      <c r="T275" s="7"/>
      <c r="U275" s="7"/>
      <c r="V275" s="7"/>
    </row>
    <row r="276" spans="1:22" ht="12.75" customHeight="1">
      <c r="A276" s="7"/>
      <c r="B276" s="7"/>
      <c r="C276" s="8"/>
      <c r="D276" s="66"/>
      <c r="E276" s="7"/>
      <c r="F276" s="7"/>
      <c r="G276" s="7"/>
      <c r="H276" s="7"/>
      <c r="I276" s="7"/>
      <c r="J276" s="7"/>
      <c r="K276" s="7"/>
      <c r="L276" s="7"/>
      <c r="M276" s="7"/>
      <c r="N276" s="7"/>
      <c r="O276" s="7"/>
      <c r="P276" s="7"/>
      <c r="Q276" s="7"/>
      <c r="R276" s="7"/>
      <c r="S276" s="7"/>
      <c r="T276" s="7"/>
      <c r="U276" s="7"/>
      <c r="V276" s="7"/>
    </row>
    <row r="277" spans="1:22" ht="12.75" customHeight="1">
      <c r="A277" s="7"/>
      <c r="B277" s="7"/>
      <c r="C277" s="8"/>
      <c r="D277" s="66"/>
      <c r="E277" s="7"/>
      <c r="F277" s="7"/>
      <c r="G277" s="7"/>
      <c r="H277" s="7"/>
      <c r="I277" s="7"/>
      <c r="J277" s="7"/>
      <c r="K277" s="7"/>
      <c r="L277" s="7"/>
      <c r="M277" s="7"/>
      <c r="N277" s="7"/>
      <c r="O277" s="7"/>
      <c r="P277" s="7"/>
      <c r="Q277" s="7"/>
      <c r="R277" s="7"/>
      <c r="S277" s="7"/>
      <c r="T277" s="7"/>
      <c r="U277" s="7"/>
      <c r="V277" s="7"/>
    </row>
    <row r="278" spans="1:22" ht="12.75" customHeight="1">
      <c r="A278" s="7"/>
      <c r="B278" s="7"/>
      <c r="C278" s="8"/>
      <c r="D278" s="66"/>
      <c r="E278" s="7"/>
      <c r="F278" s="7"/>
      <c r="G278" s="7"/>
      <c r="H278" s="7"/>
      <c r="I278" s="7"/>
      <c r="J278" s="7"/>
      <c r="K278" s="7"/>
      <c r="L278" s="7"/>
      <c r="M278" s="7"/>
      <c r="N278" s="7"/>
      <c r="O278" s="7"/>
      <c r="P278" s="7"/>
      <c r="Q278" s="7"/>
      <c r="R278" s="7"/>
      <c r="S278" s="7"/>
      <c r="T278" s="7"/>
      <c r="U278" s="7"/>
      <c r="V278" s="7"/>
    </row>
    <row r="279" spans="1:22" ht="12.75" customHeight="1">
      <c r="A279" s="7"/>
      <c r="B279" s="7"/>
      <c r="C279" s="8"/>
      <c r="D279" s="66"/>
      <c r="E279" s="7"/>
      <c r="F279" s="7"/>
      <c r="G279" s="7"/>
      <c r="H279" s="7"/>
      <c r="I279" s="7"/>
      <c r="J279" s="7"/>
      <c r="K279" s="7"/>
      <c r="L279" s="7"/>
      <c r="M279" s="7"/>
      <c r="N279" s="7"/>
      <c r="O279" s="7"/>
      <c r="P279" s="7"/>
      <c r="Q279" s="7"/>
      <c r="R279" s="7"/>
      <c r="S279" s="7"/>
      <c r="T279" s="7"/>
      <c r="U279" s="7"/>
      <c r="V279" s="7"/>
    </row>
    <row r="280" spans="1:22" ht="12.75" customHeight="1">
      <c r="A280" s="7"/>
      <c r="B280" s="7"/>
      <c r="C280" s="8"/>
      <c r="D280" s="66"/>
      <c r="E280" s="7"/>
      <c r="F280" s="7"/>
      <c r="G280" s="7"/>
      <c r="H280" s="7"/>
      <c r="I280" s="7"/>
      <c r="J280" s="7"/>
      <c r="K280" s="7"/>
      <c r="L280" s="7"/>
      <c r="M280" s="7"/>
      <c r="N280" s="7"/>
      <c r="O280" s="7"/>
      <c r="P280" s="7"/>
      <c r="Q280" s="7"/>
      <c r="R280" s="7"/>
      <c r="S280" s="7"/>
      <c r="T280" s="7"/>
      <c r="U280" s="7"/>
      <c r="V280" s="7"/>
    </row>
    <row r="281" spans="1:22" ht="12.75" customHeight="1">
      <c r="A281" s="7"/>
      <c r="B281" s="7"/>
      <c r="C281" s="8"/>
      <c r="D281" s="66"/>
      <c r="E281" s="7"/>
      <c r="F281" s="7"/>
      <c r="G281" s="7"/>
      <c r="H281" s="7"/>
      <c r="I281" s="7"/>
      <c r="J281" s="7"/>
      <c r="K281" s="7"/>
      <c r="L281" s="7"/>
      <c r="M281" s="7"/>
      <c r="N281" s="7"/>
      <c r="O281" s="7"/>
      <c r="P281" s="7"/>
      <c r="Q281" s="7"/>
      <c r="R281" s="7"/>
      <c r="S281" s="7"/>
      <c r="T281" s="7"/>
      <c r="U281" s="7"/>
      <c r="V281" s="7"/>
    </row>
    <row r="282" spans="1:22" ht="12.75" customHeight="1">
      <c r="A282" s="7"/>
      <c r="B282" s="7"/>
      <c r="C282" s="8"/>
      <c r="D282" s="66"/>
      <c r="E282" s="7"/>
      <c r="F282" s="7"/>
      <c r="G282" s="7"/>
      <c r="H282" s="7"/>
      <c r="I282" s="7"/>
      <c r="J282" s="7"/>
      <c r="K282" s="7"/>
      <c r="L282" s="7"/>
      <c r="M282" s="7"/>
      <c r="N282" s="7"/>
      <c r="O282" s="7"/>
      <c r="P282" s="7"/>
      <c r="Q282" s="7"/>
      <c r="R282" s="7"/>
      <c r="S282" s="7"/>
      <c r="T282" s="7"/>
      <c r="U282" s="7"/>
      <c r="V282" s="7"/>
    </row>
    <row r="283" spans="1:22" ht="12.75" customHeight="1">
      <c r="A283" s="7"/>
      <c r="B283" s="7"/>
      <c r="C283" s="8"/>
      <c r="D283" s="66"/>
      <c r="E283" s="7"/>
      <c r="F283" s="7"/>
      <c r="G283" s="7"/>
      <c r="H283" s="7"/>
      <c r="I283" s="7"/>
      <c r="J283" s="7"/>
      <c r="K283" s="7"/>
      <c r="L283" s="7"/>
      <c r="M283" s="7"/>
      <c r="N283" s="7"/>
      <c r="O283" s="7"/>
      <c r="P283" s="7"/>
      <c r="Q283" s="7"/>
      <c r="R283" s="7"/>
      <c r="S283" s="7"/>
      <c r="T283" s="7"/>
      <c r="U283" s="7"/>
      <c r="V283" s="7"/>
    </row>
    <row r="284" spans="1:22" ht="12.75" customHeight="1">
      <c r="A284" s="7"/>
      <c r="B284" s="7"/>
      <c r="C284" s="8"/>
      <c r="D284" s="66"/>
      <c r="E284" s="7"/>
      <c r="F284" s="7"/>
      <c r="G284" s="7"/>
      <c r="H284" s="7"/>
      <c r="I284" s="7"/>
      <c r="J284" s="7"/>
      <c r="K284" s="7"/>
      <c r="L284" s="7"/>
      <c r="M284" s="7"/>
      <c r="N284" s="7"/>
      <c r="O284" s="7"/>
      <c r="P284" s="7"/>
      <c r="Q284" s="7"/>
      <c r="R284" s="7"/>
      <c r="S284" s="7"/>
      <c r="T284" s="7"/>
      <c r="U284" s="7"/>
      <c r="V284" s="7"/>
    </row>
    <row r="285" spans="1:22" ht="12.75" customHeight="1">
      <c r="A285" s="7"/>
      <c r="B285" s="7"/>
      <c r="C285" s="8"/>
      <c r="D285" s="66"/>
      <c r="E285" s="7"/>
      <c r="F285" s="7"/>
      <c r="G285" s="7"/>
      <c r="H285" s="7"/>
      <c r="I285" s="7"/>
      <c r="J285" s="7"/>
      <c r="K285" s="7"/>
      <c r="L285" s="7"/>
      <c r="M285" s="7"/>
      <c r="N285" s="7"/>
      <c r="O285" s="7"/>
      <c r="P285" s="7"/>
      <c r="Q285" s="7"/>
      <c r="R285" s="7"/>
      <c r="S285" s="7"/>
      <c r="T285" s="7"/>
      <c r="U285" s="7"/>
      <c r="V285" s="7"/>
    </row>
    <row r="286" spans="1:22" ht="12.75" customHeight="1">
      <c r="A286" s="7"/>
      <c r="B286" s="7"/>
      <c r="C286" s="8"/>
      <c r="D286" s="66"/>
      <c r="E286" s="7"/>
      <c r="F286" s="7"/>
      <c r="G286" s="7"/>
      <c r="H286" s="7"/>
      <c r="I286" s="7"/>
      <c r="J286" s="7"/>
      <c r="K286" s="7"/>
      <c r="L286" s="7"/>
      <c r="M286" s="7"/>
      <c r="N286" s="7"/>
      <c r="O286" s="7"/>
      <c r="P286" s="7"/>
      <c r="Q286" s="7"/>
      <c r="R286" s="7"/>
      <c r="S286" s="7"/>
      <c r="T286" s="7"/>
      <c r="U286" s="7"/>
      <c r="V286" s="7"/>
    </row>
    <row r="287" spans="1:22" ht="12.75" customHeight="1">
      <c r="A287" s="7"/>
      <c r="B287" s="7"/>
      <c r="C287" s="8"/>
      <c r="D287" s="66"/>
      <c r="E287" s="7"/>
      <c r="F287" s="7"/>
      <c r="G287" s="7"/>
      <c r="H287" s="7"/>
      <c r="I287" s="7"/>
      <c r="J287" s="7"/>
      <c r="K287" s="7"/>
      <c r="L287" s="7"/>
      <c r="M287" s="7"/>
      <c r="N287" s="7"/>
      <c r="O287" s="7"/>
      <c r="P287" s="7"/>
      <c r="Q287" s="7"/>
      <c r="R287" s="7"/>
      <c r="S287" s="7"/>
      <c r="T287" s="7"/>
      <c r="U287" s="7"/>
      <c r="V287" s="7"/>
    </row>
    <row r="288" spans="1:22" ht="12.75" customHeight="1">
      <c r="A288" s="7"/>
      <c r="B288" s="7"/>
      <c r="C288" s="8"/>
      <c r="D288" s="66"/>
      <c r="E288" s="7"/>
      <c r="F288" s="7"/>
      <c r="G288" s="7"/>
      <c r="H288" s="7"/>
      <c r="I288" s="7"/>
      <c r="J288" s="7"/>
      <c r="K288" s="7"/>
      <c r="L288" s="7"/>
      <c r="M288" s="7"/>
      <c r="N288" s="7"/>
      <c r="O288" s="7"/>
      <c r="P288" s="7"/>
      <c r="Q288" s="7"/>
      <c r="R288" s="7"/>
      <c r="S288" s="7"/>
      <c r="T288" s="7"/>
      <c r="U288" s="7"/>
      <c r="V288" s="7"/>
    </row>
    <row r="289" spans="1:22" ht="12.75" customHeight="1">
      <c r="A289" s="7"/>
      <c r="B289" s="7"/>
      <c r="C289" s="8"/>
      <c r="D289" s="66"/>
      <c r="E289" s="7"/>
      <c r="F289" s="7"/>
      <c r="G289" s="7"/>
      <c r="H289" s="7"/>
      <c r="I289" s="7"/>
      <c r="J289" s="7"/>
      <c r="K289" s="7"/>
      <c r="L289" s="7"/>
      <c r="M289" s="7"/>
      <c r="N289" s="7"/>
      <c r="O289" s="7"/>
      <c r="P289" s="7"/>
      <c r="Q289" s="7"/>
      <c r="R289" s="7"/>
      <c r="S289" s="7"/>
      <c r="T289" s="7"/>
      <c r="U289" s="7"/>
      <c r="V289" s="7"/>
    </row>
    <row r="290" spans="1:22" ht="12.75" customHeight="1">
      <c r="A290" s="7"/>
      <c r="B290" s="7"/>
      <c r="C290" s="8"/>
      <c r="D290" s="66"/>
      <c r="E290" s="7"/>
      <c r="F290" s="7"/>
      <c r="G290" s="7"/>
      <c r="H290" s="7"/>
      <c r="I290" s="7"/>
      <c r="J290" s="7"/>
      <c r="K290" s="7"/>
      <c r="L290" s="7"/>
      <c r="M290" s="7"/>
      <c r="N290" s="7"/>
      <c r="O290" s="7"/>
      <c r="P290" s="7"/>
      <c r="Q290" s="7"/>
      <c r="R290" s="7"/>
      <c r="S290" s="7"/>
      <c r="T290" s="7"/>
      <c r="U290" s="7"/>
      <c r="V290" s="7"/>
    </row>
    <row r="291" spans="1:22" ht="12.75" customHeight="1">
      <c r="A291" s="7"/>
      <c r="B291" s="7"/>
      <c r="C291" s="8"/>
      <c r="D291" s="66"/>
      <c r="E291" s="7"/>
      <c r="F291" s="7"/>
      <c r="G291" s="7"/>
      <c r="H291" s="7"/>
      <c r="I291" s="7"/>
      <c r="J291" s="7"/>
      <c r="K291" s="7"/>
      <c r="L291" s="7"/>
      <c r="M291" s="7"/>
      <c r="N291" s="7"/>
      <c r="O291" s="7"/>
      <c r="P291" s="7"/>
      <c r="Q291" s="7"/>
      <c r="R291" s="7"/>
      <c r="S291" s="7"/>
      <c r="T291" s="7"/>
      <c r="U291" s="7"/>
      <c r="V291" s="7"/>
    </row>
    <row r="292" spans="1:22" ht="12.75" customHeight="1">
      <c r="A292" s="7"/>
      <c r="B292" s="7"/>
      <c r="C292" s="8"/>
      <c r="D292" s="66"/>
      <c r="E292" s="7"/>
      <c r="F292" s="7"/>
      <c r="G292" s="7"/>
      <c r="H292" s="7"/>
      <c r="I292" s="7"/>
      <c r="J292" s="7"/>
      <c r="K292" s="7"/>
      <c r="L292" s="7"/>
      <c r="M292" s="7"/>
      <c r="N292" s="7"/>
      <c r="O292" s="7"/>
      <c r="P292" s="7"/>
      <c r="Q292" s="7"/>
      <c r="R292" s="7"/>
      <c r="S292" s="7"/>
      <c r="T292" s="7"/>
      <c r="U292" s="7"/>
      <c r="V292" s="7"/>
    </row>
    <row r="293" spans="1:22" ht="12.75" customHeight="1">
      <c r="A293" s="7"/>
      <c r="B293" s="7"/>
      <c r="C293" s="8"/>
      <c r="D293" s="66"/>
      <c r="E293" s="7"/>
      <c r="F293" s="7"/>
      <c r="G293" s="7"/>
      <c r="H293" s="7"/>
      <c r="I293" s="7"/>
      <c r="J293" s="7"/>
      <c r="K293" s="7"/>
      <c r="L293" s="7"/>
      <c r="M293" s="7"/>
      <c r="N293" s="7"/>
      <c r="O293" s="7"/>
      <c r="P293" s="7"/>
      <c r="Q293" s="7"/>
      <c r="R293" s="7"/>
      <c r="S293" s="7"/>
      <c r="T293" s="7"/>
      <c r="U293" s="7"/>
      <c r="V293" s="7"/>
    </row>
    <row r="294" spans="1:22" ht="12.75" customHeight="1">
      <c r="A294" s="7"/>
      <c r="B294" s="7"/>
      <c r="C294" s="8"/>
      <c r="D294" s="66"/>
      <c r="E294" s="7"/>
      <c r="F294" s="7"/>
      <c r="G294" s="7"/>
      <c r="H294" s="7"/>
      <c r="I294" s="7"/>
      <c r="J294" s="7"/>
      <c r="K294" s="7"/>
      <c r="L294" s="7"/>
      <c r="M294" s="7"/>
      <c r="N294" s="7"/>
      <c r="O294" s="7"/>
      <c r="P294" s="7"/>
      <c r="Q294" s="7"/>
      <c r="R294" s="7"/>
      <c r="S294" s="7"/>
      <c r="T294" s="7"/>
      <c r="U294" s="7"/>
      <c r="V294" s="7"/>
    </row>
    <row r="295" spans="1:22" ht="12.75" customHeight="1">
      <c r="A295" s="7"/>
      <c r="B295" s="7"/>
      <c r="C295" s="8"/>
      <c r="D295" s="66"/>
      <c r="E295" s="7"/>
      <c r="F295" s="7"/>
      <c r="G295" s="7"/>
      <c r="H295" s="7"/>
      <c r="I295" s="7"/>
      <c r="J295" s="7"/>
      <c r="K295" s="7"/>
      <c r="L295" s="7"/>
      <c r="M295" s="7"/>
      <c r="N295" s="7"/>
      <c r="O295" s="7"/>
      <c r="P295" s="7"/>
      <c r="Q295" s="7"/>
      <c r="R295" s="7"/>
      <c r="S295" s="7"/>
      <c r="T295" s="7"/>
      <c r="U295" s="7"/>
      <c r="V295" s="7"/>
    </row>
    <row r="296" spans="1:22" ht="12.75" customHeight="1">
      <c r="A296" s="7"/>
      <c r="B296" s="7"/>
      <c r="C296" s="8"/>
      <c r="D296" s="66"/>
      <c r="E296" s="7"/>
      <c r="F296" s="7"/>
      <c r="G296" s="7"/>
      <c r="H296" s="7"/>
      <c r="I296" s="7"/>
      <c r="J296" s="7"/>
      <c r="K296" s="7"/>
      <c r="L296" s="7"/>
      <c r="M296" s="7"/>
      <c r="N296" s="7"/>
      <c r="O296" s="7"/>
      <c r="P296" s="7"/>
      <c r="Q296" s="7"/>
      <c r="R296" s="7"/>
      <c r="S296" s="7"/>
      <c r="T296" s="7"/>
      <c r="U296" s="7"/>
      <c r="V296" s="7"/>
    </row>
    <row r="297" spans="1:22" ht="12.75" customHeight="1">
      <c r="A297" s="7"/>
      <c r="B297" s="7"/>
      <c r="C297" s="8"/>
      <c r="D297" s="66"/>
      <c r="E297" s="7"/>
      <c r="F297" s="7"/>
      <c r="G297" s="7"/>
      <c r="H297" s="7"/>
      <c r="I297" s="7"/>
      <c r="J297" s="7"/>
      <c r="K297" s="7"/>
      <c r="L297" s="7"/>
      <c r="M297" s="7"/>
      <c r="N297" s="7"/>
      <c r="O297" s="7"/>
      <c r="P297" s="7"/>
      <c r="Q297" s="7"/>
      <c r="R297" s="7"/>
      <c r="S297" s="7"/>
      <c r="T297" s="7"/>
      <c r="U297" s="7"/>
      <c r="V297" s="7"/>
    </row>
    <row r="298" spans="1:22" ht="12.75" customHeight="1">
      <c r="A298" s="7"/>
      <c r="B298" s="7"/>
      <c r="C298" s="8"/>
      <c r="D298" s="66"/>
      <c r="E298" s="7"/>
      <c r="F298" s="7"/>
      <c r="G298" s="7"/>
      <c r="H298" s="7"/>
      <c r="I298" s="7"/>
      <c r="J298" s="7"/>
      <c r="K298" s="7"/>
      <c r="L298" s="7"/>
      <c r="M298" s="7"/>
      <c r="N298" s="7"/>
      <c r="O298" s="7"/>
      <c r="P298" s="7"/>
      <c r="Q298" s="7"/>
      <c r="R298" s="7"/>
      <c r="S298" s="7"/>
      <c r="T298" s="7"/>
      <c r="U298" s="7"/>
      <c r="V298" s="7"/>
    </row>
    <row r="299" spans="1:22" ht="12.75" customHeight="1">
      <c r="A299" s="7"/>
      <c r="B299" s="7"/>
      <c r="C299" s="8"/>
      <c r="D299" s="66"/>
      <c r="E299" s="7"/>
      <c r="F299" s="7"/>
      <c r="G299" s="7"/>
      <c r="H299" s="7"/>
      <c r="I299" s="7"/>
      <c r="J299" s="7"/>
      <c r="K299" s="7"/>
      <c r="L299" s="7"/>
      <c r="M299" s="7"/>
      <c r="N299" s="7"/>
      <c r="O299" s="7"/>
      <c r="P299" s="7"/>
      <c r="Q299" s="7"/>
      <c r="R299" s="7"/>
      <c r="S299" s="7"/>
      <c r="T299" s="7"/>
      <c r="U299" s="7"/>
      <c r="V299" s="7"/>
    </row>
    <row r="300" spans="1:22" ht="12.75" customHeight="1">
      <c r="A300" s="7"/>
      <c r="B300" s="7"/>
      <c r="C300" s="8"/>
      <c r="D300" s="66"/>
      <c r="E300" s="7"/>
      <c r="F300" s="7"/>
      <c r="G300" s="7"/>
      <c r="H300" s="7"/>
      <c r="I300" s="7"/>
      <c r="J300" s="7"/>
      <c r="K300" s="7"/>
      <c r="L300" s="7"/>
      <c r="M300" s="7"/>
      <c r="N300" s="7"/>
      <c r="O300" s="7"/>
      <c r="P300" s="7"/>
      <c r="Q300" s="7"/>
      <c r="R300" s="7"/>
      <c r="S300" s="7"/>
      <c r="T300" s="7"/>
      <c r="U300" s="7"/>
      <c r="V300" s="7"/>
    </row>
    <row r="301" spans="1:22" ht="12.75" customHeight="1">
      <c r="A301" s="7"/>
      <c r="B301" s="7"/>
      <c r="C301" s="8"/>
      <c r="D301" s="66"/>
      <c r="E301" s="7"/>
      <c r="F301" s="7"/>
      <c r="G301" s="7"/>
      <c r="H301" s="7"/>
      <c r="I301" s="7"/>
      <c r="J301" s="7"/>
      <c r="K301" s="7"/>
      <c r="L301" s="7"/>
      <c r="M301" s="7"/>
      <c r="N301" s="7"/>
      <c r="O301" s="7"/>
      <c r="P301" s="7"/>
      <c r="Q301" s="7"/>
      <c r="R301" s="7"/>
      <c r="S301" s="7"/>
      <c r="T301" s="7"/>
      <c r="U301" s="7"/>
      <c r="V301" s="7"/>
    </row>
    <row r="302" spans="1:22" ht="12.75" customHeight="1">
      <c r="A302" s="7"/>
      <c r="B302" s="7"/>
      <c r="C302" s="8"/>
      <c r="D302" s="66"/>
      <c r="E302" s="7"/>
      <c r="F302" s="7"/>
      <c r="G302" s="7"/>
      <c r="H302" s="7"/>
      <c r="I302" s="7"/>
      <c r="J302" s="7"/>
      <c r="K302" s="7"/>
      <c r="L302" s="7"/>
      <c r="M302" s="7"/>
      <c r="N302" s="7"/>
      <c r="O302" s="7"/>
      <c r="P302" s="7"/>
      <c r="Q302" s="7"/>
      <c r="R302" s="7"/>
      <c r="S302" s="7"/>
      <c r="T302" s="7"/>
      <c r="U302" s="7"/>
      <c r="V302" s="7"/>
    </row>
    <row r="303" spans="1:22" ht="12.75" customHeight="1">
      <c r="A303" s="7"/>
      <c r="B303" s="7"/>
      <c r="C303" s="8"/>
      <c r="D303" s="66"/>
      <c r="E303" s="7"/>
      <c r="F303" s="7"/>
      <c r="G303" s="7"/>
      <c r="H303" s="7"/>
      <c r="I303" s="7"/>
      <c r="J303" s="7"/>
      <c r="K303" s="7"/>
      <c r="L303" s="7"/>
      <c r="M303" s="7"/>
      <c r="N303" s="7"/>
      <c r="O303" s="7"/>
      <c r="P303" s="7"/>
      <c r="Q303" s="7"/>
      <c r="R303" s="7"/>
      <c r="S303" s="7"/>
      <c r="T303" s="7"/>
      <c r="U303" s="7"/>
      <c r="V303" s="7"/>
    </row>
    <row r="304" spans="1:22" ht="12.75" customHeight="1">
      <c r="A304" s="7"/>
      <c r="B304" s="7"/>
      <c r="C304" s="8"/>
      <c r="D304" s="66"/>
      <c r="E304" s="7"/>
      <c r="F304" s="7"/>
      <c r="G304" s="7"/>
      <c r="H304" s="7"/>
      <c r="I304" s="7"/>
      <c r="J304" s="7"/>
      <c r="K304" s="7"/>
      <c r="L304" s="7"/>
      <c r="M304" s="7"/>
      <c r="N304" s="7"/>
      <c r="O304" s="7"/>
      <c r="P304" s="7"/>
      <c r="Q304" s="7"/>
      <c r="R304" s="7"/>
      <c r="S304" s="7"/>
      <c r="T304" s="7"/>
      <c r="U304" s="7"/>
      <c r="V304" s="7"/>
    </row>
    <row r="305" spans="1:22" ht="12.75" customHeight="1">
      <c r="A305" s="7"/>
      <c r="B305" s="7"/>
      <c r="C305" s="8"/>
      <c r="D305" s="66"/>
      <c r="E305" s="7"/>
      <c r="F305" s="7"/>
      <c r="G305" s="7"/>
      <c r="H305" s="7"/>
      <c r="I305" s="7"/>
      <c r="J305" s="7"/>
      <c r="K305" s="7"/>
      <c r="L305" s="7"/>
      <c r="M305" s="7"/>
      <c r="N305" s="7"/>
      <c r="O305" s="7"/>
      <c r="P305" s="7"/>
      <c r="Q305" s="7"/>
      <c r="R305" s="7"/>
      <c r="S305" s="7"/>
      <c r="T305" s="7"/>
      <c r="U305" s="7"/>
      <c r="V305" s="7"/>
    </row>
    <row r="306" spans="1:22" ht="12.75" customHeight="1">
      <c r="A306" s="7"/>
      <c r="B306" s="7"/>
      <c r="C306" s="8"/>
      <c r="D306" s="66"/>
      <c r="E306" s="7"/>
      <c r="F306" s="7"/>
      <c r="G306" s="7"/>
      <c r="H306" s="7"/>
      <c r="I306" s="7"/>
      <c r="J306" s="7"/>
      <c r="K306" s="7"/>
      <c r="L306" s="7"/>
      <c r="M306" s="7"/>
      <c r="N306" s="7"/>
      <c r="O306" s="7"/>
      <c r="P306" s="7"/>
      <c r="Q306" s="7"/>
      <c r="R306" s="7"/>
      <c r="S306" s="7"/>
      <c r="T306" s="7"/>
      <c r="U306" s="7"/>
      <c r="V306" s="7"/>
    </row>
    <row r="307" spans="1:22" ht="12.75" customHeight="1">
      <c r="A307" s="7"/>
      <c r="B307" s="7"/>
      <c r="C307" s="8"/>
      <c r="D307" s="66"/>
      <c r="E307" s="7"/>
      <c r="F307" s="7"/>
      <c r="G307" s="7"/>
      <c r="H307" s="7"/>
      <c r="I307" s="7"/>
      <c r="J307" s="7"/>
      <c r="K307" s="7"/>
      <c r="L307" s="7"/>
      <c r="M307" s="7"/>
      <c r="N307" s="7"/>
      <c r="O307" s="7"/>
      <c r="P307" s="7"/>
      <c r="Q307" s="7"/>
      <c r="R307" s="7"/>
      <c r="S307" s="7"/>
      <c r="T307" s="7"/>
      <c r="U307" s="7"/>
      <c r="V307" s="7"/>
    </row>
    <row r="308" spans="1:22" ht="12.75" customHeight="1">
      <c r="A308" s="7"/>
      <c r="B308" s="7"/>
      <c r="C308" s="8"/>
      <c r="D308" s="66"/>
      <c r="E308" s="7"/>
      <c r="F308" s="7"/>
      <c r="G308" s="7"/>
      <c r="H308" s="7"/>
      <c r="I308" s="7"/>
      <c r="J308" s="7"/>
      <c r="K308" s="7"/>
      <c r="L308" s="7"/>
      <c r="M308" s="7"/>
      <c r="N308" s="7"/>
      <c r="O308" s="7"/>
      <c r="P308" s="7"/>
      <c r="Q308" s="7"/>
      <c r="R308" s="7"/>
      <c r="S308" s="7"/>
      <c r="T308" s="7"/>
      <c r="U308" s="7"/>
      <c r="V308" s="7"/>
    </row>
    <row r="309" spans="1:22" ht="12.75" customHeight="1">
      <c r="A309" s="7"/>
      <c r="B309" s="7"/>
      <c r="C309" s="8"/>
      <c r="D309" s="66"/>
      <c r="E309" s="7"/>
      <c r="F309" s="7"/>
      <c r="G309" s="7"/>
      <c r="H309" s="7"/>
      <c r="I309" s="7"/>
      <c r="J309" s="7"/>
      <c r="K309" s="7"/>
      <c r="L309" s="7"/>
      <c r="M309" s="7"/>
      <c r="N309" s="7"/>
      <c r="O309" s="7"/>
      <c r="P309" s="7"/>
      <c r="Q309" s="7"/>
      <c r="R309" s="7"/>
      <c r="S309" s="7"/>
      <c r="T309" s="7"/>
      <c r="U309" s="7"/>
      <c r="V309" s="7"/>
    </row>
    <row r="310" spans="1:22" ht="12.75" customHeight="1">
      <c r="A310" s="7"/>
      <c r="B310" s="7"/>
      <c r="C310" s="8"/>
      <c r="D310" s="66"/>
      <c r="E310" s="7"/>
      <c r="F310" s="7"/>
      <c r="G310" s="7"/>
      <c r="H310" s="7"/>
      <c r="I310" s="7"/>
      <c r="J310" s="7"/>
      <c r="K310" s="7"/>
      <c r="L310" s="7"/>
      <c r="M310" s="7"/>
      <c r="N310" s="7"/>
      <c r="O310" s="7"/>
      <c r="P310" s="7"/>
      <c r="Q310" s="7"/>
      <c r="R310" s="7"/>
      <c r="S310" s="7"/>
      <c r="T310" s="7"/>
      <c r="U310" s="7"/>
      <c r="V310" s="7"/>
    </row>
    <row r="311" spans="1:22" ht="12.75" customHeight="1">
      <c r="A311" s="7"/>
      <c r="B311" s="7"/>
      <c r="C311" s="8"/>
      <c r="D311" s="66"/>
      <c r="E311" s="7"/>
      <c r="F311" s="7"/>
      <c r="G311" s="7"/>
      <c r="H311" s="7"/>
      <c r="I311" s="7"/>
      <c r="J311" s="7"/>
      <c r="K311" s="7"/>
      <c r="L311" s="7"/>
      <c r="M311" s="7"/>
      <c r="N311" s="7"/>
      <c r="O311" s="7"/>
      <c r="P311" s="7"/>
      <c r="Q311" s="7"/>
      <c r="R311" s="7"/>
      <c r="S311" s="7"/>
      <c r="T311" s="7"/>
      <c r="U311" s="7"/>
      <c r="V311" s="7"/>
    </row>
    <row r="312" spans="1:22" ht="12.75" customHeight="1">
      <c r="A312" s="7"/>
      <c r="B312" s="7"/>
      <c r="C312" s="8"/>
      <c r="D312" s="66"/>
      <c r="E312" s="7"/>
      <c r="F312" s="7"/>
      <c r="G312" s="7"/>
      <c r="H312" s="7"/>
      <c r="I312" s="7"/>
      <c r="J312" s="7"/>
      <c r="K312" s="7"/>
      <c r="L312" s="7"/>
      <c r="M312" s="7"/>
      <c r="N312" s="7"/>
      <c r="O312" s="7"/>
      <c r="P312" s="7"/>
      <c r="Q312" s="7"/>
      <c r="R312" s="7"/>
      <c r="S312" s="7"/>
      <c r="T312" s="7"/>
      <c r="U312" s="7"/>
      <c r="V312" s="7"/>
    </row>
    <row r="313" spans="1:22" ht="12.75" customHeight="1">
      <c r="A313" s="7"/>
      <c r="B313" s="7"/>
      <c r="C313" s="8"/>
      <c r="D313" s="66"/>
      <c r="E313" s="7"/>
      <c r="F313" s="7"/>
      <c r="G313" s="7"/>
      <c r="H313" s="7"/>
      <c r="I313" s="7"/>
      <c r="J313" s="7"/>
      <c r="K313" s="7"/>
      <c r="L313" s="7"/>
      <c r="M313" s="7"/>
      <c r="N313" s="7"/>
      <c r="O313" s="7"/>
      <c r="P313" s="7"/>
      <c r="Q313" s="7"/>
      <c r="R313" s="7"/>
      <c r="S313" s="7"/>
      <c r="T313" s="7"/>
      <c r="U313" s="7"/>
      <c r="V313" s="7"/>
    </row>
    <row r="314" spans="1:22" ht="12.75" customHeight="1">
      <c r="A314" s="7"/>
      <c r="B314" s="7"/>
      <c r="C314" s="8"/>
      <c r="D314" s="66"/>
      <c r="E314" s="7"/>
      <c r="F314" s="7"/>
      <c r="G314" s="7"/>
      <c r="H314" s="7"/>
      <c r="I314" s="7"/>
      <c r="J314" s="7"/>
      <c r="K314" s="7"/>
      <c r="L314" s="7"/>
      <c r="M314" s="7"/>
      <c r="N314" s="7"/>
      <c r="O314" s="7"/>
      <c r="P314" s="7"/>
      <c r="Q314" s="7"/>
      <c r="R314" s="7"/>
      <c r="S314" s="7"/>
      <c r="T314" s="7"/>
      <c r="U314" s="7"/>
      <c r="V314" s="7"/>
    </row>
    <row r="315" spans="1:22" ht="12.75" customHeight="1">
      <c r="A315" s="7"/>
      <c r="B315" s="7"/>
      <c r="C315" s="8"/>
      <c r="D315" s="66"/>
      <c r="E315" s="7"/>
      <c r="F315" s="7"/>
      <c r="G315" s="7"/>
      <c r="H315" s="7"/>
      <c r="I315" s="7"/>
      <c r="J315" s="7"/>
      <c r="K315" s="7"/>
      <c r="L315" s="7"/>
      <c r="M315" s="7"/>
      <c r="N315" s="7"/>
      <c r="O315" s="7"/>
      <c r="P315" s="7"/>
      <c r="Q315" s="7"/>
      <c r="R315" s="7"/>
      <c r="S315" s="7"/>
      <c r="T315" s="7"/>
      <c r="U315" s="7"/>
      <c r="V315" s="7"/>
    </row>
    <row r="316" spans="1:22" ht="12.75" customHeight="1">
      <c r="A316" s="7"/>
      <c r="B316" s="7"/>
      <c r="C316" s="8"/>
      <c r="D316" s="66"/>
      <c r="E316" s="7"/>
      <c r="F316" s="7"/>
      <c r="G316" s="7"/>
      <c r="H316" s="7"/>
      <c r="I316" s="7"/>
      <c r="J316" s="7"/>
      <c r="K316" s="7"/>
      <c r="L316" s="7"/>
      <c r="M316" s="7"/>
      <c r="N316" s="7"/>
      <c r="O316" s="7"/>
      <c r="P316" s="7"/>
      <c r="Q316" s="7"/>
      <c r="R316" s="7"/>
      <c r="S316" s="7"/>
      <c r="T316" s="7"/>
      <c r="U316" s="7"/>
      <c r="V316" s="7"/>
    </row>
    <row r="317" spans="1:22" ht="12.75" customHeight="1">
      <c r="A317" s="7"/>
      <c r="B317" s="7"/>
      <c r="C317" s="8"/>
      <c r="D317" s="66"/>
      <c r="E317" s="7"/>
      <c r="F317" s="7"/>
      <c r="G317" s="7"/>
      <c r="H317" s="7"/>
      <c r="I317" s="7"/>
      <c r="J317" s="7"/>
      <c r="K317" s="7"/>
      <c r="L317" s="7"/>
      <c r="M317" s="7"/>
      <c r="N317" s="7"/>
      <c r="O317" s="7"/>
      <c r="P317" s="7"/>
      <c r="Q317" s="7"/>
      <c r="R317" s="7"/>
      <c r="S317" s="7"/>
      <c r="T317" s="7"/>
      <c r="U317" s="7"/>
      <c r="V317" s="7"/>
    </row>
    <row r="318" spans="1:22" ht="12.75" customHeight="1">
      <c r="A318" s="7"/>
      <c r="B318" s="7"/>
      <c r="C318" s="8"/>
      <c r="D318" s="66"/>
      <c r="E318" s="7"/>
      <c r="F318" s="7"/>
      <c r="G318" s="7"/>
      <c r="H318" s="7"/>
      <c r="I318" s="7"/>
      <c r="J318" s="7"/>
      <c r="K318" s="7"/>
      <c r="L318" s="7"/>
      <c r="M318" s="7"/>
      <c r="N318" s="7"/>
      <c r="O318" s="7"/>
      <c r="P318" s="7"/>
      <c r="Q318" s="7"/>
      <c r="R318" s="7"/>
      <c r="S318" s="7"/>
      <c r="T318" s="7"/>
      <c r="U318" s="7"/>
      <c r="V318" s="7"/>
    </row>
    <row r="319" spans="1:22" ht="12.75" customHeight="1">
      <c r="A319" s="7"/>
      <c r="B319" s="7"/>
      <c r="C319" s="8"/>
      <c r="D319" s="66"/>
      <c r="E319" s="7"/>
      <c r="F319" s="7"/>
      <c r="G319" s="7"/>
      <c r="H319" s="7"/>
      <c r="I319" s="7"/>
      <c r="J319" s="7"/>
      <c r="K319" s="7"/>
      <c r="L319" s="7"/>
      <c r="M319" s="7"/>
      <c r="N319" s="7"/>
      <c r="O319" s="7"/>
      <c r="P319" s="7"/>
      <c r="Q319" s="7"/>
      <c r="R319" s="7"/>
      <c r="S319" s="7"/>
      <c r="T319" s="7"/>
      <c r="U319" s="7"/>
      <c r="V319" s="7"/>
    </row>
    <row r="320" spans="1:22" ht="12.75" customHeight="1">
      <c r="A320" s="7"/>
      <c r="B320" s="7"/>
      <c r="C320" s="8"/>
      <c r="D320" s="66"/>
      <c r="E320" s="7"/>
      <c r="F320" s="7"/>
      <c r="G320" s="7"/>
      <c r="H320" s="7"/>
      <c r="I320" s="7"/>
      <c r="J320" s="7"/>
      <c r="K320" s="7"/>
      <c r="L320" s="7"/>
      <c r="M320" s="7"/>
      <c r="N320" s="7"/>
      <c r="O320" s="7"/>
      <c r="P320" s="7"/>
      <c r="Q320" s="7"/>
      <c r="R320" s="7"/>
      <c r="S320" s="7"/>
      <c r="T320" s="7"/>
      <c r="U320" s="7"/>
      <c r="V320" s="7"/>
    </row>
    <row r="321" spans="1:22" ht="12.75" customHeight="1">
      <c r="A321" s="7"/>
      <c r="B321" s="7"/>
      <c r="C321" s="8"/>
      <c r="D321" s="66"/>
      <c r="E321" s="7"/>
      <c r="F321" s="7"/>
      <c r="G321" s="7"/>
      <c r="H321" s="7"/>
      <c r="I321" s="7"/>
      <c r="J321" s="7"/>
      <c r="K321" s="7"/>
      <c r="L321" s="7"/>
      <c r="M321" s="7"/>
      <c r="N321" s="7"/>
      <c r="O321" s="7"/>
      <c r="P321" s="7"/>
      <c r="Q321" s="7"/>
      <c r="R321" s="7"/>
      <c r="S321" s="7"/>
      <c r="T321" s="7"/>
      <c r="U321" s="7"/>
      <c r="V321" s="7"/>
    </row>
    <row r="322" spans="1:22" ht="12.75" customHeight="1">
      <c r="A322" s="7"/>
      <c r="B322" s="7"/>
      <c r="C322" s="8"/>
      <c r="D322" s="66"/>
      <c r="E322" s="7"/>
      <c r="F322" s="7"/>
      <c r="G322" s="7"/>
      <c r="H322" s="7"/>
      <c r="I322" s="7"/>
      <c r="J322" s="7"/>
      <c r="K322" s="7"/>
      <c r="L322" s="7"/>
      <c r="M322" s="7"/>
      <c r="N322" s="7"/>
      <c r="O322" s="7"/>
      <c r="P322" s="7"/>
      <c r="Q322" s="7"/>
      <c r="R322" s="7"/>
      <c r="S322" s="7"/>
      <c r="T322" s="7"/>
      <c r="U322" s="7"/>
      <c r="V322" s="7"/>
    </row>
    <row r="323" spans="1:22" ht="12.75" customHeight="1">
      <c r="A323" s="7"/>
      <c r="B323" s="7"/>
      <c r="C323" s="8"/>
      <c r="D323" s="66"/>
      <c r="E323" s="7"/>
      <c r="F323" s="7"/>
      <c r="G323" s="7"/>
      <c r="H323" s="7"/>
      <c r="I323" s="7"/>
      <c r="J323" s="7"/>
      <c r="K323" s="7"/>
      <c r="L323" s="7"/>
      <c r="M323" s="7"/>
      <c r="N323" s="7"/>
      <c r="O323" s="7"/>
      <c r="P323" s="7"/>
      <c r="Q323" s="7"/>
      <c r="R323" s="7"/>
      <c r="S323" s="7"/>
      <c r="T323" s="7"/>
      <c r="U323" s="7"/>
      <c r="V323" s="7"/>
    </row>
    <row r="324" spans="1:22" ht="12.75" customHeight="1">
      <c r="A324" s="7"/>
      <c r="B324" s="7"/>
      <c r="C324" s="8"/>
      <c r="D324" s="66"/>
      <c r="E324" s="7"/>
      <c r="F324" s="7"/>
      <c r="G324" s="7"/>
      <c r="H324" s="7"/>
      <c r="I324" s="7"/>
      <c r="J324" s="7"/>
      <c r="K324" s="7"/>
      <c r="L324" s="7"/>
      <c r="M324" s="7"/>
      <c r="N324" s="7"/>
      <c r="O324" s="7"/>
      <c r="P324" s="7"/>
      <c r="Q324" s="7"/>
      <c r="R324" s="7"/>
      <c r="S324" s="7"/>
      <c r="T324" s="7"/>
      <c r="U324" s="7"/>
      <c r="V324" s="7"/>
    </row>
    <row r="325" spans="1:22" ht="12.75" customHeight="1">
      <c r="A325" s="7"/>
      <c r="B325" s="7"/>
      <c r="C325" s="8"/>
      <c r="D325" s="66"/>
      <c r="E325" s="7"/>
      <c r="F325" s="7"/>
      <c r="G325" s="7"/>
      <c r="H325" s="7"/>
      <c r="I325" s="7"/>
      <c r="J325" s="7"/>
      <c r="K325" s="7"/>
      <c r="L325" s="7"/>
      <c r="M325" s="7"/>
      <c r="N325" s="7"/>
      <c r="O325" s="7"/>
      <c r="P325" s="7"/>
      <c r="Q325" s="7"/>
      <c r="R325" s="7"/>
      <c r="S325" s="7"/>
      <c r="T325" s="7"/>
      <c r="U325" s="7"/>
      <c r="V325" s="7"/>
    </row>
    <row r="326" spans="1:22" ht="12.75" customHeight="1">
      <c r="A326" s="7"/>
      <c r="B326" s="7"/>
      <c r="C326" s="8"/>
      <c r="D326" s="66"/>
      <c r="E326" s="7"/>
      <c r="F326" s="7"/>
      <c r="G326" s="7"/>
      <c r="H326" s="7"/>
      <c r="I326" s="7"/>
      <c r="J326" s="7"/>
      <c r="K326" s="7"/>
      <c r="L326" s="7"/>
      <c r="M326" s="7"/>
      <c r="N326" s="7"/>
      <c r="O326" s="7"/>
      <c r="P326" s="7"/>
      <c r="Q326" s="7"/>
      <c r="R326" s="7"/>
      <c r="S326" s="7"/>
      <c r="T326" s="7"/>
      <c r="U326" s="7"/>
      <c r="V326" s="7"/>
    </row>
    <row r="327" spans="1:22" ht="12.75" customHeight="1">
      <c r="A327" s="7"/>
      <c r="B327" s="7"/>
      <c r="C327" s="8"/>
      <c r="D327" s="66"/>
      <c r="E327" s="7"/>
      <c r="F327" s="7"/>
      <c r="G327" s="7"/>
      <c r="H327" s="7"/>
      <c r="I327" s="7"/>
      <c r="J327" s="7"/>
      <c r="K327" s="7"/>
      <c r="L327" s="7"/>
      <c r="M327" s="7"/>
      <c r="N327" s="7"/>
      <c r="O327" s="7"/>
      <c r="P327" s="7"/>
      <c r="Q327" s="7"/>
      <c r="R327" s="7"/>
      <c r="S327" s="7"/>
      <c r="T327" s="7"/>
      <c r="U327" s="7"/>
      <c r="V327" s="7"/>
    </row>
    <row r="328" spans="1:22" ht="12.75" customHeight="1">
      <c r="A328" s="7"/>
      <c r="B328" s="7"/>
      <c r="C328" s="8"/>
      <c r="D328" s="66"/>
      <c r="E328" s="7"/>
      <c r="F328" s="7"/>
      <c r="G328" s="7"/>
      <c r="H328" s="7"/>
      <c r="I328" s="7"/>
      <c r="J328" s="7"/>
      <c r="K328" s="7"/>
      <c r="L328" s="7"/>
      <c r="M328" s="7"/>
      <c r="N328" s="7"/>
      <c r="O328" s="7"/>
      <c r="P328" s="7"/>
      <c r="Q328" s="7"/>
      <c r="R328" s="7"/>
      <c r="S328" s="7"/>
      <c r="T328" s="7"/>
      <c r="U328" s="7"/>
      <c r="V328" s="7"/>
    </row>
    <row r="329" spans="1:22" ht="12.75" customHeight="1">
      <c r="A329" s="7"/>
      <c r="B329" s="7"/>
      <c r="C329" s="8"/>
      <c r="D329" s="66"/>
      <c r="E329" s="7"/>
      <c r="F329" s="7"/>
      <c r="G329" s="7"/>
      <c r="H329" s="7"/>
      <c r="I329" s="7"/>
      <c r="J329" s="7"/>
      <c r="K329" s="7"/>
      <c r="L329" s="7"/>
      <c r="M329" s="7"/>
      <c r="N329" s="7"/>
      <c r="O329" s="7"/>
      <c r="P329" s="7"/>
      <c r="Q329" s="7"/>
      <c r="R329" s="7"/>
      <c r="S329" s="7"/>
      <c r="T329" s="7"/>
      <c r="U329" s="7"/>
      <c r="V329" s="7"/>
    </row>
    <row r="330" spans="1:22" ht="12.75" customHeight="1">
      <c r="A330" s="7"/>
      <c r="B330" s="7"/>
      <c r="C330" s="8"/>
      <c r="D330" s="66"/>
      <c r="E330" s="7"/>
      <c r="F330" s="7"/>
      <c r="G330" s="7"/>
      <c r="H330" s="7"/>
      <c r="I330" s="7"/>
      <c r="J330" s="7"/>
      <c r="K330" s="7"/>
      <c r="L330" s="7"/>
      <c r="M330" s="7"/>
      <c r="N330" s="7"/>
      <c r="O330" s="7"/>
      <c r="P330" s="7"/>
      <c r="Q330" s="7"/>
      <c r="R330" s="7"/>
      <c r="S330" s="7"/>
      <c r="T330" s="7"/>
      <c r="U330" s="7"/>
      <c r="V330" s="7"/>
    </row>
    <row r="331" spans="1:22" ht="12.75" customHeight="1">
      <c r="A331" s="7"/>
      <c r="B331" s="7"/>
      <c r="C331" s="8"/>
      <c r="D331" s="66"/>
      <c r="E331" s="7"/>
      <c r="F331" s="7"/>
      <c r="G331" s="7"/>
      <c r="H331" s="7"/>
      <c r="I331" s="7"/>
      <c r="J331" s="7"/>
      <c r="K331" s="7"/>
      <c r="L331" s="7"/>
      <c r="M331" s="7"/>
      <c r="N331" s="7"/>
      <c r="O331" s="7"/>
      <c r="P331" s="7"/>
      <c r="Q331" s="7"/>
      <c r="R331" s="7"/>
      <c r="S331" s="7"/>
      <c r="T331" s="7"/>
      <c r="U331" s="7"/>
      <c r="V331" s="7"/>
    </row>
    <row r="332" spans="1:22" ht="12.75" customHeight="1">
      <c r="A332" s="7"/>
      <c r="B332" s="7"/>
      <c r="C332" s="8"/>
      <c r="D332" s="66"/>
      <c r="E332" s="7"/>
      <c r="F332" s="7"/>
      <c r="G332" s="7"/>
      <c r="H332" s="7"/>
      <c r="I332" s="7"/>
      <c r="J332" s="7"/>
      <c r="K332" s="7"/>
      <c r="L332" s="7"/>
      <c r="M332" s="7"/>
      <c r="N332" s="7"/>
      <c r="O332" s="7"/>
      <c r="P332" s="7"/>
      <c r="Q332" s="7"/>
      <c r="R332" s="7"/>
      <c r="S332" s="7"/>
      <c r="T332" s="7"/>
      <c r="U332" s="7"/>
      <c r="V332" s="7"/>
    </row>
    <row r="333" spans="1:22" ht="12.75" customHeight="1">
      <c r="A333" s="7"/>
      <c r="B333" s="7"/>
      <c r="C333" s="8"/>
      <c r="D333" s="66"/>
      <c r="E333" s="7"/>
      <c r="F333" s="7"/>
      <c r="G333" s="7"/>
      <c r="H333" s="7"/>
      <c r="I333" s="7"/>
      <c r="J333" s="7"/>
      <c r="K333" s="7"/>
      <c r="L333" s="7"/>
      <c r="M333" s="7"/>
      <c r="N333" s="7"/>
      <c r="O333" s="7"/>
      <c r="P333" s="7"/>
      <c r="Q333" s="7"/>
      <c r="R333" s="7"/>
      <c r="S333" s="7"/>
      <c r="T333" s="7"/>
      <c r="U333" s="7"/>
      <c r="V333" s="7"/>
    </row>
    <row r="334" spans="1:22" ht="12.75" customHeight="1">
      <c r="A334" s="7"/>
      <c r="B334" s="7"/>
      <c r="C334" s="8"/>
      <c r="D334" s="66"/>
      <c r="E334" s="7"/>
      <c r="F334" s="7"/>
      <c r="G334" s="7"/>
      <c r="H334" s="7"/>
      <c r="I334" s="7"/>
      <c r="J334" s="7"/>
      <c r="K334" s="7"/>
      <c r="L334" s="7"/>
      <c r="M334" s="7"/>
      <c r="N334" s="7"/>
      <c r="O334" s="7"/>
      <c r="P334" s="7"/>
      <c r="Q334" s="7"/>
      <c r="R334" s="7"/>
      <c r="S334" s="7"/>
      <c r="T334" s="7"/>
      <c r="U334" s="7"/>
      <c r="V334" s="7"/>
    </row>
    <row r="335" spans="1:22" ht="12.75" customHeight="1">
      <c r="A335" s="7"/>
      <c r="B335" s="7"/>
      <c r="C335" s="8"/>
      <c r="D335" s="66"/>
      <c r="E335" s="7"/>
      <c r="F335" s="7"/>
      <c r="G335" s="7"/>
      <c r="H335" s="7"/>
      <c r="I335" s="7"/>
      <c r="J335" s="7"/>
      <c r="K335" s="7"/>
      <c r="L335" s="7"/>
      <c r="M335" s="7"/>
      <c r="N335" s="7"/>
      <c r="O335" s="7"/>
      <c r="P335" s="7"/>
      <c r="Q335" s="7"/>
      <c r="R335" s="7"/>
      <c r="S335" s="7"/>
      <c r="T335" s="7"/>
      <c r="U335" s="7"/>
      <c r="V335" s="7"/>
    </row>
    <row r="336" spans="1:22" ht="12.75" customHeight="1">
      <c r="A336" s="7"/>
      <c r="B336" s="7"/>
      <c r="C336" s="8"/>
      <c r="D336" s="66"/>
      <c r="E336" s="7"/>
      <c r="F336" s="7"/>
      <c r="G336" s="7"/>
      <c r="H336" s="7"/>
      <c r="I336" s="7"/>
      <c r="J336" s="7"/>
      <c r="K336" s="7"/>
      <c r="L336" s="7"/>
      <c r="M336" s="7"/>
      <c r="N336" s="7"/>
      <c r="O336" s="7"/>
      <c r="P336" s="7"/>
      <c r="Q336" s="7"/>
      <c r="R336" s="7"/>
      <c r="S336" s="7"/>
      <c r="T336" s="7"/>
      <c r="U336" s="7"/>
      <c r="V336" s="7"/>
    </row>
    <row r="337" spans="1:22" ht="12.75" customHeight="1">
      <c r="A337" s="7"/>
      <c r="B337" s="7"/>
      <c r="C337" s="8"/>
      <c r="D337" s="66"/>
      <c r="E337" s="7"/>
      <c r="F337" s="7"/>
      <c r="G337" s="7"/>
      <c r="H337" s="7"/>
      <c r="I337" s="7"/>
      <c r="J337" s="7"/>
      <c r="K337" s="7"/>
      <c r="L337" s="7"/>
      <c r="M337" s="7"/>
      <c r="N337" s="7"/>
      <c r="O337" s="7"/>
      <c r="P337" s="7"/>
      <c r="Q337" s="7"/>
      <c r="R337" s="7"/>
      <c r="S337" s="7"/>
      <c r="T337" s="7"/>
      <c r="U337" s="7"/>
      <c r="V337" s="7"/>
    </row>
    <row r="338" spans="1:22" ht="12.75" customHeight="1">
      <c r="A338" s="7"/>
      <c r="B338" s="7"/>
      <c r="C338" s="8"/>
      <c r="D338" s="66"/>
      <c r="E338" s="7"/>
      <c r="F338" s="7"/>
      <c r="G338" s="7"/>
      <c r="H338" s="7"/>
      <c r="I338" s="7"/>
      <c r="J338" s="7"/>
      <c r="K338" s="7"/>
      <c r="L338" s="7"/>
      <c r="M338" s="7"/>
      <c r="N338" s="7"/>
      <c r="O338" s="7"/>
      <c r="P338" s="7"/>
      <c r="Q338" s="7"/>
      <c r="R338" s="7"/>
      <c r="S338" s="7"/>
      <c r="T338" s="7"/>
      <c r="U338" s="7"/>
      <c r="V338" s="7"/>
    </row>
    <row r="339" spans="1:22" ht="12.75" customHeight="1">
      <c r="A339" s="7"/>
      <c r="B339" s="7"/>
      <c r="C339" s="8"/>
      <c r="D339" s="66"/>
      <c r="E339" s="7"/>
      <c r="F339" s="7"/>
      <c r="G339" s="7"/>
      <c r="H339" s="7"/>
      <c r="I339" s="7"/>
      <c r="J339" s="7"/>
      <c r="K339" s="7"/>
      <c r="L339" s="7"/>
      <c r="M339" s="7"/>
      <c r="N339" s="7"/>
      <c r="O339" s="7"/>
      <c r="P339" s="7"/>
      <c r="Q339" s="7"/>
      <c r="R339" s="7"/>
      <c r="S339" s="7"/>
      <c r="T339" s="7"/>
      <c r="U339" s="7"/>
      <c r="V339" s="7"/>
    </row>
    <row r="340" spans="1:22" ht="12.75" customHeight="1">
      <c r="A340" s="7"/>
      <c r="B340" s="7"/>
      <c r="C340" s="8"/>
      <c r="D340" s="66"/>
      <c r="E340" s="7"/>
      <c r="F340" s="7"/>
      <c r="G340" s="7"/>
      <c r="H340" s="7"/>
      <c r="I340" s="7"/>
      <c r="J340" s="7"/>
      <c r="K340" s="7"/>
      <c r="L340" s="7"/>
      <c r="M340" s="7"/>
      <c r="N340" s="7"/>
      <c r="O340" s="7"/>
      <c r="P340" s="7"/>
      <c r="Q340" s="7"/>
      <c r="R340" s="7"/>
      <c r="S340" s="7"/>
      <c r="T340" s="7"/>
      <c r="U340" s="7"/>
      <c r="V340" s="7"/>
    </row>
    <row r="341" spans="1:22" ht="12.75" customHeight="1">
      <c r="A341" s="7"/>
      <c r="B341" s="7"/>
      <c r="C341" s="8"/>
      <c r="D341" s="66"/>
      <c r="E341" s="7"/>
      <c r="F341" s="7"/>
      <c r="G341" s="7"/>
      <c r="H341" s="7"/>
      <c r="I341" s="7"/>
      <c r="J341" s="7"/>
      <c r="K341" s="7"/>
      <c r="L341" s="7"/>
      <c r="M341" s="7"/>
      <c r="N341" s="7"/>
      <c r="O341" s="7"/>
      <c r="P341" s="7"/>
      <c r="Q341" s="7"/>
      <c r="R341" s="7"/>
      <c r="S341" s="7"/>
      <c r="T341" s="7"/>
      <c r="U341" s="7"/>
      <c r="V341" s="7"/>
    </row>
    <row r="342" spans="1:22" ht="12.75" customHeight="1">
      <c r="A342" s="7"/>
      <c r="B342" s="7"/>
      <c r="C342" s="8"/>
      <c r="D342" s="66"/>
      <c r="E342" s="7"/>
      <c r="F342" s="7"/>
      <c r="G342" s="7"/>
      <c r="H342" s="7"/>
      <c r="I342" s="7"/>
      <c r="J342" s="7"/>
      <c r="K342" s="7"/>
      <c r="L342" s="7"/>
      <c r="M342" s="7"/>
      <c r="N342" s="7"/>
      <c r="O342" s="7"/>
      <c r="P342" s="7"/>
      <c r="Q342" s="7"/>
      <c r="R342" s="7"/>
      <c r="S342" s="7"/>
      <c r="T342" s="7"/>
      <c r="U342" s="7"/>
      <c r="V342" s="7"/>
    </row>
    <row r="343" spans="1:22" ht="12.75" customHeight="1">
      <c r="A343" s="7"/>
      <c r="B343" s="7"/>
      <c r="C343" s="8"/>
      <c r="D343" s="66"/>
      <c r="E343" s="7"/>
      <c r="F343" s="7"/>
      <c r="G343" s="7"/>
      <c r="H343" s="7"/>
      <c r="I343" s="7"/>
      <c r="J343" s="7"/>
      <c r="K343" s="7"/>
      <c r="L343" s="7"/>
      <c r="M343" s="7"/>
      <c r="N343" s="7"/>
      <c r="O343" s="7"/>
      <c r="P343" s="7"/>
      <c r="Q343" s="7"/>
      <c r="R343" s="7"/>
      <c r="S343" s="7"/>
      <c r="T343" s="7"/>
      <c r="U343" s="7"/>
      <c r="V343" s="7"/>
    </row>
    <row r="344" spans="1:22" ht="12.75" customHeight="1">
      <c r="A344" s="7"/>
      <c r="B344" s="7"/>
      <c r="C344" s="8"/>
      <c r="D344" s="66"/>
      <c r="E344" s="7"/>
      <c r="F344" s="7"/>
      <c r="G344" s="7"/>
      <c r="H344" s="7"/>
      <c r="I344" s="7"/>
      <c r="J344" s="7"/>
      <c r="K344" s="7"/>
      <c r="L344" s="7"/>
      <c r="M344" s="7"/>
      <c r="N344" s="7"/>
      <c r="O344" s="7"/>
      <c r="P344" s="7"/>
      <c r="Q344" s="7"/>
      <c r="R344" s="7"/>
      <c r="S344" s="7"/>
      <c r="T344" s="7"/>
      <c r="U344" s="7"/>
      <c r="V344" s="7"/>
    </row>
    <row r="345" spans="1:22" ht="12.75" customHeight="1">
      <c r="A345" s="7"/>
      <c r="B345" s="7"/>
      <c r="C345" s="8"/>
      <c r="D345" s="66"/>
      <c r="E345" s="7"/>
      <c r="F345" s="7"/>
      <c r="G345" s="7"/>
      <c r="H345" s="7"/>
      <c r="I345" s="7"/>
      <c r="J345" s="7"/>
      <c r="K345" s="7"/>
      <c r="L345" s="7"/>
      <c r="M345" s="7"/>
      <c r="N345" s="7"/>
      <c r="O345" s="7"/>
      <c r="P345" s="7"/>
      <c r="Q345" s="7"/>
      <c r="R345" s="7"/>
      <c r="S345" s="7"/>
      <c r="T345" s="7"/>
      <c r="U345" s="7"/>
      <c r="V345" s="7"/>
    </row>
    <row r="346" spans="1:22" ht="12.75" customHeight="1">
      <c r="A346" s="7"/>
      <c r="B346" s="7"/>
      <c r="C346" s="8"/>
      <c r="D346" s="66"/>
      <c r="E346" s="7"/>
      <c r="F346" s="7"/>
      <c r="G346" s="7"/>
      <c r="H346" s="7"/>
      <c r="I346" s="7"/>
      <c r="J346" s="7"/>
      <c r="K346" s="7"/>
      <c r="L346" s="7"/>
      <c r="M346" s="7"/>
      <c r="N346" s="7"/>
      <c r="O346" s="7"/>
      <c r="P346" s="7"/>
      <c r="Q346" s="7"/>
      <c r="R346" s="7"/>
      <c r="S346" s="7"/>
      <c r="T346" s="7"/>
      <c r="U346" s="7"/>
      <c r="V346" s="7"/>
    </row>
    <row r="347" spans="1:22" ht="12.75" customHeight="1">
      <c r="A347" s="7"/>
      <c r="B347" s="7"/>
      <c r="C347" s="8"/>
      <c r="D347" s="66"/>
      <c r="E347" s="7"/>
      <c r="F347" s="7"/>
      <c r="G347" s="7"/>
      <c r="H347" s="7"/>
      <c r="I347" s="7"/>
      <c r="J347" s="7"/>
      <c r="K347" s="7"/>
      <c r="L347" s="7"/>
      <c r="M347" s="7"/>
      <c r="N347" s="7"/>
      <c r="O347" s="7"/>
      <c r="P347" s="7"/>
      <c r="Q347" s="7"/>
      <c r="R347" s="7"/>
      <c r="S347" s="7"/>
      <c r="T347" s="7"/>
      <c r="U347" s="7"/>
      <c r="V347" s="7"/>
    </row>
    <row r="348" spans="1:22" ht="12.75" customHeight="1">
      <c r="A348" s="7"/>
      <c r="B348" s="7"/>
      <c r="C348" s="8"/>
      <c r="D348" s="66"/>
      <c r="E348" s="7"/>
      <c r="F348" s="7"/>
      <c r="G348" s="7"/>
      <c r="H348" s="7"/>
      <c r="I348" s="7"/>
      <c r="J348" s="7"/>
      <c r="K348" s="7"/>
      <c r="L348" s="7"/>
      <c r="M348" s="7"/>
      <c r="N348" s="7"/>
      <c r="O348" s="7"/>
      <c r="P348" s="7"/>
      <c r="Q348" s="7"/>
      <c r="R348" s="7"/>
      <c r="S348" s="7"/>
      <c r="T348" s="7"/>
      <c r="U348" s="7"/>
      <c r="V348" s="7"/>
    </row>
    <row r="349" spans="1:22" ht="12.75" customHeight="1">
      <c r="A349" s="7"/>
      <c r="B349" s="7"/>
      <c r="C349" s="8"/>
      <c r="D349" s="66"/>
      <c r="E349" s="7"/>
      <c r="F349" s="7"/>
      <c r="G349" s="7"/>
      <c r="H349" s="7"/>
      <c r="I349" s="7"/>
      <c r="J349" s="7"/>
      <c r="K349" s="7"/>
      <c r="L349" s="7"/>
      <c r="M349" s="7"/>
      <c r="N349" s="7"/>
      <c r="O349" s="7"/>
      <c r="P349" s="7"/>
      <c r="Q349" s="7"/>
      <c r="R349" s="7"/>
      <c r="S349" s="7"/>
      <c r="T349" s="7"/>
      <c r="U349" s="7"/>
      <c r="V349" s="7"/>
    </row>
    <row r="350" spans="1:22" ht="12.75" customHeight="1">
      <c r="A350" s="7"/>
      <c r="B350" s="7"/>
      <c r="C350" s="8"/>
      <c r="D350" s="66"/>
      <c r="E350" s="7"/>
      <c r="F350" s="7"/>
      <c r="G350" s="7"/>
      <c r="H350" s="7"/>
      <c r="I350" s="7"/>
      <c r="J350" s="7"/>
      <c r="K350" s="7"/>
      <c r="L350" s="7"/>
      <c r="M350" s="7"/>
      <c r="N350" s="7"/>
      <c r="O350" s="7"/>
      <c r="P350" s="7"/>
      <c r="Q350" s="7"/>
      <c r="R350" s="7"/>
      <c r="S350" s="7"/>
      <c r="T350" s="7"/>
      <c r="U350" s="7"/>
      <c r="V350" s="7"/>
    </row>
    <row r="351" spans="1:22" ht="12.75" customHeight="1">
      <c r="A351" s="7"/>
      <c r="B351" s="7"/>
      <c r="C351" s="8"/>
      <c r="D351" s="66"/>
      <c r="E351" s="7"/>
      <c r="F351" s="7"/>
      <c r="G351" s="7"/>
      <c r="H351" s="7"/>
      <c r="I351" s="7"/>
      <c r="J351" s="7"/>
      <c r="K351" s="7"/>
      <c r="L351" s="7"/>
      <c r="M351" s="7"/>
      <c r="N351" s="7"/>
      <c r="O351" s="7"/>
      <c r="P351" s="7"/>
      <c r="Q351" s="7"/>
      <c r="R351" s="7"/>
      <c r="S351" s="7"/>
      <c r="T351" s="7"/>
      <c r="U351" s="7"/>
      <c r="V351" s="7"/>
    </row>
    <row r="352" spans="1:22" ht="12.75" customHeight="1">
      <c r="A352" s="7"/>
      <c r="B352" s="7"/>
      <c r="C352" s="8"/>
      <c r="D352" s="66"/>
      <c r="E352" s="7"/>
      <c r="F352" s="7"/>
      <c r="G352" s="7"/>
      <c r="H352" s="7"/>
      <c r="I352" s="7"/>
      <c r="J352" s="7"/>
      <c r="K352" s="7"/>
      <c r="L352" s="7"/>
      <c r="M352" s="7"/>
      <c r="N352" s="7"/>
      <c r="O352" s="7"/>
      <c r="P352" s="7"/>
      <c r="Q352" s="7"/>
      <c r="R352" s="7"/>
      <c r="S352" s="7"/>
      <c r="T352" s="7"/>
      <c r="U352" s="7"/>
      <c r="V352" s="7"/>
    </row>
    <row r="353" spans="1:22" ht="12.75" customHeight="1">
      <c r="A353" s="7"/>
      <c r="B353" s="7"/>
      <c r="C353" s="8"/>
      <c r="D353" s="66"/>
      <c r="E353" s="7"/>
      <c r="F353" s="7"/>
      <c r="G353" s="7"/>
      <c r="H353" s="7"/>
      <c r="I353" s="7"/>
      <c r="J353" s="7"/>
      <c r="K353" s="7"/>
      <c r="L353" s="7"/>
      <c r="M353" s="7"/>
      <c r="N353" s="7"/>
      <c r="O353" s="7"/>
      <c r="P353" s="7"/>
      <c r="Q353" s="7"/>
      <c r="R353" s="7"/>
      <c r="S353" s="7"/>
      <c r="T353" s="7"/>
      <c r="U353" s="7"/>
      <c r="V353" s="7"/>
    </row>
    <row r="354" spans="1:22" ht="12.75" customHeight="1">
      <c r="A354" s="7"/>
      <c r="B354" s="7"/>
      <c r="C354" s="8"/>
      <c r="D354" s="66"/>
      <c r="E354" s="7"/>
      <c r="F354" s="7"/>
      <c r="G354" s="7"/>
      <c r="H354" s="7"/>
      <c r="I354" s="7"/>
      <c r="J354" s="7"/>
      <c r="K354" s="7"/>
      <c r="L354" s="7"/>
      <c r="M354" s="7"/>
      <c r="N354" s="7"/>
      <c r="O354" s="7"/>
      <c r="P354" s="7"/>
      <c r="Q354" s="7"/>
      <c r="R354" s="7"/>
      <c r="S354" s="7"/>
      <c r="T354" s="7"/>
      <c r="U354" s="7"/>
      <c r="V354" s="7"/>
    </row>
    <row r="355" spans="1:22" ht="12.75" customHeight="1">
      <c r="A355" s="7"/>
      <c r="B355" s="7"/>
      <c r="C355" s="8"/>
      <c r="D355" s="66"/>
      <c r="E355" s="7"/>
      <c r="F355" s="7"/>
      <c r="G355" s="7"/>
      <c r="H355" s="7"/>
      <c r="I355" s="7"/>
      <c r="J355" s="7"/>
      <c r="K355" s="7"/>
      <c r="L355" s="7"/>
      <c r="M355" s="7"/>
      <c r="N355" s="7"/>
      <c r="O355" s="7"/>
      <c r="P355" s="7"/>
      <c r="Q355" s="7"/>
      <c r="R355" s="7"/>
      <c r="S355" s="7"/>
      <c r="T355" s="7"/>
      <c r="U355" s="7"/>
      <c r="V355" s="7"/>
    </row>
    <row r="356" spans="1:22" ht="12.75" customHeight="1">
      <c r="A356" s="7"/>
      <c r="B356" s="7"/>
      <c r="C356" s="8"/>
      <c r="D356" s="66"/>
      <c r="E356" s="7"/>
      <c r="F356" s="7"/>
      <c r="G356" s="7"/>
      <c r="H356" s="7"/>
      <c r="I356" s="7"/>
      <c r="J356" s="7"/>
      <c r="K356" s="7"/>
      <c r="L356" s="7"/>
      <c r="M356" s="7"/>
      <c r="N356" s="7"/>
      <c r="O356" s="7"/>
      <c r="P356" s="7"/>
      <c r="Q356" s="7"/>
      <c r="R356" s="7"/>
      <c r="S356" s="7"/>
      <c r="T356" s="7"/>
      <c r="U356" s="7"/>
      <c r="V356" s="7"/>
    </row>
    <row r="357" spans="1:22" ht="12.75" customHeight="1">
      <c r="A357" s="7"/>
      <c r="B357" s="7"/>
      <c r="C357" s="8"/>
      <c r="D357" s="66"/>
      <c r="E357" s="7"/>
      <c r="F357" s="7"/>
      <c r="G357" s="7"/>
      <c r="H357" s="7"/>
      <c r="I357" s="7"/>
      <c r="J357" s="7"/>
      <c r="K357" s="7"/>
      <c r="L357" s="7"/>
      <c r="M357" s="7"/>
      <c r="N357" s="7"/>
      <c r="O357" s="7"/>
      <c r="P357" s="7"/>
      <c r="Q357" s="7"/>
      <c r="R357" s="7"/>
      <c r="S357" s="7"/>
      <c r="T357" s="7"/>
      <c r="U357" s="7"/>
      <c r="V357" s="7"/>
    </row>
    <row r="358" spans="1:22" ht="12.75" customHeight="1">
      <c r="A358" s="7"/>
      <c r="B358" s="7"/>
      <c r="C358" s="8"/>
      <c r="D358" s="66"/>
      <c r="E358" s="7"/>
      <c r="F358" s="7"/>
      <c r="G358" s="7"/>
      <c r="H358" s="7"/>
      <c r="I358" s="7"/>
      <c r="J358" s="7"/>
      <c r="K358" s="7"/>
      <c r="L358" s="7"/>
      <c r="M358" s="7"/>
      <c r="N358" s="7"/>
      <c r="O358" s="7"/>
      <c r="P358" s="7"/>
      <c r="Q358" s="7"/>
      <c r="R358" s="7"/>
      <c r="S358" s="7"/>
      <c r="T358" s="7"/>
      <c r="U358" s="7"/>
      <c r="V358" s="7"/>
    </row>
    <row r="359" spans="1:22" ht="12.75" customHeight="1">
      <c r="A359" s="7"/>
      <c r="B359" s="7"/>
      <c r="C359" s="8"/>
      <c r="D359" s="66"/>
      <c r="E359" s="7"/>
      <c r="F359" s="7"/>
      <c r="G359" s="7"/>
      <c r="H359" s="7"/>
      <c r="I359" s="7"/>
      <c r="J359" s="7"/>
      <c r="K359" s="7"/>
      <c r="L359" s="7"/>
      <c r="M359" s="7"/>
      <c r="N359" s="7"/>
      <c r="O359" s="7"/>
      <c r="P359" s="7"/>
      <c r="Q359" s="7"/>
      <c r="R359" s="7"/>
      <c r="S359" s="7"/>
      <c r="T359" s="7"/>
      <c r="U359" s="7"/>
      <c r="V359" s="7"/>
    </row>
    <row r="360" spans="1:22" ht="12.75" customHeight="1">
      <c r="A360" s="7"/>
      <c r="B360" s="7"/>
      <c r="C360" s="8"/>
      <c r="D360" s="66"/>
      <c r="E360" s="7"/>
      <c r="F360" s="7"/>
      <c r="G360" s="7"/>
      <c r="H360" s="7"/>
      <c r="I360" s="7"/>
      <c r="J360" s="7"/>
      <c r="K360" s="7"/>
      <c r="L360" s="7"/>
      <c r="M360" s="7"/>
      <c r="N360" s="7"/>
      <c r="O360" s="7"/>
      <c r="P360" s="7"/>
      <c r="Q360" s="7"/>
      <c r="R360" s="7"/>
      <c r="S360" s="7"/>
      <c r="T360" s="7"/>
      <c r="U360" s="7"/>
      <c r="V360" s="7"/>
    </row>
    <row r="361" spans="1:22" ht="12.75" customHeight="1">
      <c r="A361" s="7"/>
      <c r="B361" s="7"/>
      <c r="C361" s="8"/>
      <c r="D361" s="66"/>
      <c r="E361" s="7"/>
      <c r="F361" s="7"/>
      <c r="G361" s="7"/>
      <c r="H361" s="7"/>
      <c r="I361" s="7"/>
      <c r="J361" s="7"/>
      <c r="K361" s="7"/>
      <c r="L361" s="7"/>
      <c r="M361" s="7"/>
      <c r="N361" s="7"/>
      <c r="O361" s="7"/>
      <c r="P361" s="7"/>
      <c r="Q361" s="7"/>
      <c r="R361" s="7"/>
      <c r="S361" s="7"/>
      <c r="T361" s="7"/>
      <c r="U361" s="7"/>
      <c r="V361" s="7"/>
    </row>
    <row r="362" spans="1:22" ht="12.75" customHeight="1">
      <c r="A362" s="7"/>
      <c r="B362" s="7"/>
      <c r="C362" s="8"/>
      <c r="D362" s="66"/>
      <c r="E362" s="7"/>
      <c r="F362" s="7"/>
      <c r="G362" s="7"/>
      <c r="H362" s="7"/>
      <c r="I362" s="7"/>
      <c r="J362" s="7"/>
      <c r="K362" s="7"/>
      <c r="L362" s="7"/>
      <c r="M362" s="7"/>
      <c r="N362" s="7"/>
      <c r="O362" s="7"/>
      <c r="P362" s="7"/>
      <c r="Q362" s="7"/>
      <c r="R362" s="7"/>
      <c r="S362" s="7"/>
      <c r="T362" s="7"/>
      <c r="U362" s="7"/>
      <c r="V362" s="7"/>
    </row>
    <row r="363" spans="1:22" ht="12.75" customHeight="1">
      <c r="A363" s="7"/>
      <c r="B363" s="7"/>
      <c r="C363" s="8"/>
      <c r="D363" s="66"/>
      <c r="E363" s="7"/>
      <c r="F363" s="7"/>
      <c r="G363" s="7"/>
      <c r="H363" s="7"/>
      <c r="I363" s="7"/>
      <c r="J363" s="7"/>
      <c r="K363" s="7"/>
      <c r="L363" s="7"/>
      <c r="M363" s="7"/>
      <c r="N363" s="7"/>
      <c r="O363" s="7"/>
      <c r="P363" s="7"/>
      <c r="Q363" s="7"/>
      <c r="R363" s="7"/>
      <c r="S363" s="7"/>
      <c r="T363" s="7"/>
      <c r="U363" s="7"/>
      <c r="V363" s="7"/>
    </row>
    <row r="364" spans="1:22" ht="12.75" customHeight="1">
      <c r="A364" s="7"/>
      <c r="B364" s="7"/>
      <c r="C364" s="8"/>
      <c r="D364" s="66"/>
      <c r="E364" s="7"/>
      <c r="F364" s="7"/>
      <c r="G364" s="7"/>
      <c r="H364" s="7"/>
      <c r="I364" s="7"/>
      <c r="J364" s="7"/>
      <c r="K364" s="7"/>
      <c r="L364" s="7"/>
      <c r="M364" s="7"/>
      <c r="N364" s="7"/>
      <c r="O364" s="7"/>
      <c r="P364" s="7"/>
      <c r="Q364" s="7"/>
      <c r="R364" s="7"/>
      <c r="S364" s="7"/>
      <c r="T364" s="7"/>
      <c r="U364" s="7"/>
      <c r="V364" s="7"/>
    </row>
    <row r="365" spans="1:22" ht="12.75" customHeight="1">
      <c r="A365" s="7"/>
      <c r="B365" s="7"/>
      <c r="C365" s="8"/>
      <c r="D365" s="66"/>
      <c r="E365" s="7"/>
      <c r="F365" s="7"/>
      <c r="G365" s="7"/>
      <c r="H365" s="7"/>
      <c r="I365" s="7"/>
      <c r="J365" s="7"/>
      <c r="K365" s="7"/>
      <c r="L365" s="7"/>
      <c r="M365" s="7"/>
      <c r="N365" s="7"/>
      <c r="O365" s="7"/>
      <c r="P365" s="7"/>
      <c r="Q365" s="7"/>
      <c r="R365" s="7"/>
      <c r="S365" s="7"/>
      <c r="T365" s="7"/>
      <c r="U365" s="7"/>
      <c r="V365" s="7"/>
    </row>
    <row r="366" spans="1:22" ht="12.75" customHeight="1">
      <c r="A366" s="7"/>
      <c r="B366" s="7"/>
      <c r="C366" s="8"/>
      <c r="D366" s="66"/>
      <c r="E366" s="7"/>
      <c r="F366" s="7"/>
      <c r="G366" s="7"/>
      <c r="H366" s="7"/>
      <c r="I366" s="7"/>
      <c r="J366" s="7"/>
      <c r="K366" s="7"/>
      <c r="L366" s="7"/>
      <c r="M366" s="7"/>
      <c r="N366" s="7"/>
      <c r="O366" s="7"/>
      <c r="P366" s="7"/>
      <c r="Q366" s="7"/>
      <c r="R366" s="7"/>
      <c r="S366" s="7"/>
      <c r="T366" s="7"/>
      <c r="U366" s="7"/>
      <c r="V366" s="7"/>
    </row>
    <row r="367" spans="1:22" ht="12.75" customHeight="1">
      <c r="A367" s="7"/>
      <c r="B367" s="7"/>
      <c r="C367" s="8"/>
      <c r="D367" s="66"/>
      <c r="E367" s="7"/>
      <c r="F367" s="7"/>
      <c r="G367" s="7"/>
      <c r="H367" s="7"/>
      <c r="I367" s="7"/>
      <c r="J367" s="7"/>
      <c r="K367" s="7"/>
      <c r="L367" s="7"/>
      <c r="M367" s="7"/>
      <c r="N367" s="7"/>
      <c r="O367" s="7"/>
      <c r="P367" s="7"/>
      <c r="Q367" s="7"/>
      <c r="R367" s="7"/>
      <c r="S367" s="7"/>
      <c r="T367" s="7"/>
      <c r="U367" s="7"/>
      <c r="V367" s="7"/>
    </row>
    <row r="368" spans="1:22" ht="12.75" customHeight="1">
      <c r="A368" s="7"/>
      <c r="B368" s="7"/>
      <c r="C368" s="8"/>
      <c r="D368" s="66"/>
      <c r="E368" s="7"/>
      <c r="F368" s="7"/>
      <c r="G368" s="7"/>
      <c r="H368" s="7"/>
      <c r="I368" s="7"/>
      <c r="J368" s="7"/>
      <c r="K368" s="7"/>
      <c r="L368" s="7"/>
      <c r="M368" s="7"/>
      <c r="N368" s="7"/>
      <c r="O368" s="7"/>
      <c r="P368" s="7"/>
      <c r="Q368" s="7"/>
      <c r="R368" s="7"/>
      <c r="S368" s="7"/>
      <c r="T368" s="7"/>
      <c r="U368" s="7"/>
      <c r="V368" s="7"/>
    </row>
    <row r="369" spans="1:22" ht="12.75" customHeight="1">
      <c r="A369" s="7"/>
      <c r="B369" s="7"/>
      <c r="C369" s="8"/>
      <c r="D369" s="66"/>
      <c r="E369" s="7"/>
      <c r="F369" s="7"/>
      <c r="G369" s="7"/>
      <c r="H369" s="7"/>
      <c r="I369" s="7"/>
      <c r="J369" s="7"/>
      <c r="K369" s="7"/>
      <c r="L369" s="7"/>
      <c r="M369" s="7"/>
      <c r="N369" s="7"/>
      <c r="O369" s="7"/>
      <c r="P369" s="7"/>
      <c r="Q369" s="7"/>
      <c r="R369" s="7"/>
      <c r="S369" s="7"/>
      <c r="T369" s="7"/>
      <c r="U369" s="7"/>
      <c r="V369" s="7"/>
    </row>
    <row r="370" spans="1:22" ht="12.75" customHeight="1">
      <c r="A370" s="7"/>
      <c r="B370" s="7"/>
      <c r="C370" s="8"/>
      <c r="D370" s="66"/>
      <c r="E370" s="7"/>
      <c r="F370" s="7"/>
      <c r="G370" s="7"/>
      <c r="H370" s="7"/>
      <c r="I370" s="7"/>
      <c r="J370" s="7"/>
      <c r="K370" s="7"/>
      <c r="L370" s="7"/>
      <c r="M370" s="7"/>
      <c r="N370" s="7"/>
      <c r="O370" s="7"/>
      <c r="P370" s="7"/>
      <c r="Q370" s="7"/>
      <c r="R370" s="7"/>
      <c r="S370" s="7"/>
      <c r="T370" s="7"/>
      <c r="U370" s="7"/>
      <c r="V370" s="7"/>
    </row>
    <row r="371" spans="1:22" ht="12.75" customHeight="1">
      <c r="A371" s="7"/>
      <c r="B371" s="7"/>
      <c r="C371" s="8"/>
      <c r="D371" s="66"/>
      <c r="E371" s="7"/>
      <c r="F371" s="7"/>
      <c r="G371" s="7"/>
      <c r="H371" s="7"/>
      <c r="I371" s="7"/>
      <c r="J371" s="7"/>
      <c r="K371" s="7"/>
      <c r="L371" s="7"/>
      <c r="M371" s="7"/>
      <c r="N371" s="7"/>
      <c r="O371" s="7"/>
      <c r="P371" s="7"/>
      <c r="Q371" s="7"/>
      <c r="R371" s="7"/>
      <c r="S371" s="7"/>
      <c r="T371" s="7"/>
      <c r="U371" s="7"/>
      <c r="V371" s="7"/>
    </row>
    <row r="372" spans="1:22" ht="12.75" customHeight="1">
      <c r="A372" s="7"/>
      <c r="B372" s="7"/>
      <c r="C372" s="8"/>
      <c r="D372" s="66"/>
      <c r="E372" s="7"/>
      <c r="F372" s="7"/>
      <c r="G372" s="7"/>
      <c r="H372" s="7"/>
      <c r="I372" s="7"/>
      <c r="J372" s="7"/>
      <c r="K372" s="7"/>
      <c r="L372" s="7"/>
      <c r="M372" s="7"/>
      <c r="N372" s="7"/>
      <c r="O372" s="7"/>
      <c r="P372" s="7"/>
      <c r="Q372" s="7"/>
      <c r="R372" s="7"/>
      <c r="S372" s="7"/>
      <c r="T372" s="7"/>
      <c r="U372" s="7"/>
      <c r="V372" s="7"/>
    </row>
    <row r="373" spans="1:22" ht="12.75" customHeight="1">
      <c r="A373" s="7"/>
      <c r="B373" s="7"/>
      <c r="C373" s="8"/>
      <c r="D373" s="66"/>
      <c r="E373" s="7"/>
      <c r="F373" s="7"/>
      <c r="G373" s="7"/>
      <c r="H373" s="7"/>
      <c r="I373" s="7"/>
      <c r="J373" s="7"/>
      <c r="K373" s="7"/>
      <c r="L373" s="7"/>
      <c r="M373" s="7"/>
      <c r="N373" s="7"/>
      <c r="O373" s="7"/>
      <c r="P373" s="7"/>
      <c r="Q373" s="7"/>
      <c r="R373" s="7"/>
      <c r="S373" s="7"/>
      <c r="T373" s="7"/>
      <c r="U373" s="7"/>
      <c r="V373" s="7"/>
    </row>
    <row r="374" spans="1:22" ht="12.75" customHeight="1">
      <c r="A374" s="7"/>
      <c r="B374" s="7"/>
      <c r="C374" s="8"/>
      <c r="D374" s="66"/>
      <c r="E374" s="7"/>
      <c r="F374" s="7"/>
      <c r="G374" s="7"/>
      <c r="H374" s="7"/>
      <c r="I374" s="7"/>
      <c r="J374" s="7"/>
      <c r="K374" s="7"/>
      <c r="L374" s="7"/>
      <c r="M374" s="7"/>
      <c r="N374" s="7"/>
      <c r="O374" s="7"/>
      <c r="P374" s="7"/>
      <c r="Q374" s="7"/>
      <c r="R374" s="7"/>
      <c r="S374" s="7"/>
      <c r="T374" s="7"/>
      <c r="U374" s="7"/>
      <c r="V374" s="7"/>
    </row>
    <row r="375" spans="1:22" ht="12.75" customHeight="1">
      <c r="A375" s="7"/>
      <c r="B375" s="7"/>
      <c r="C375" s="8"/>
      <c r="D375" s="66"/>
      <c r="E375" s="7"/>
      <c r="F375" s="7"/>
      <c r="G375" s="7"/>
      <c r="H375" s="7"/>
      <c r="I375" s="7"/>
      <c r="J375" s="7"/>
      <c r="K375" s="7"/>
      <c r="L375" s="7"/>
      <c r="M375" s="7"/>
      <c r="N375" s="7"/>
      <c r="O375" s="7"/>
      <c r="P375" s="7"/>
      <c r="Q375" s="7"/>
      <c r="R375" s="7"/>
      <c r="S375" s="7"/>
      <c r="T375" s="7"/>
      <c r="U375" s="7"/>
      <c r="V375" s="7"/>
    </row>
    <row r="376" spans="1:22" ht="12.75" customHeight="1">
      <c r="A376" s="7"/>
      <c r="B376" s="7"/>
      <c r="C376" s="8"/>
      <c r="D376" s="66"/>
      <c r="E376" s="7"/>
      <c r="F376" s="7"/>
      <c r="G376" s="7"/>
      <c r="H376" s="7"/>
      <c r="I376" s="7"/>
      <c r="J376" s="7"/>
      <c r="K376" s="7"/>
      <c r="L376" s="7"/>
      <c r="M376" s="7"/>
      <c r="N376" s="7"/>
      <c r="O376" s="7"/>
      <c r="P376" s="7"/>
      <c r="Q376" s="7"/>
      <c r="R376" s="7"/>
      <c r="S376" s="7"/>
      <c r="T376" s="7"/>
      <c r="U376" s="7"/>
      <c r="V376" s="7"/>
    </row>
    <row r="377" spans="1:22" ht="12.75" customHeight="1">
      <c r="A377" s="7"/>
      <c r="B377" s="7"/>
      <c r="C377" s="8"/>
      <c r="D377" s="66"/>
      <c r="E377" s="7"/>
      <c r="F377" s="7"/>
      <c r="G377" s="7"/>
      <c r="H377" s="7"/>
      <c r="I377" s="7"/>
      <c r="J377" s="7"/>
      <c r="K377" s="7"/>
      <c r="L377" s="7"/>
      <c r="M377" s="7"/>
      <c r="N377" s="7"/>
      <c r="O377" s="7"/>
      <c r="P377" s="7"/>
      <c r="Q377" s="7"/>
      <c r="R377" s="7"/>
      <c r="S377" s="7"/>
      <c r="T377" s="7"/>
      <c r="U377" s="7"/>
      <c r="V377" s="7"/>
    </row>
    <row r="378" spans="1:22" ht="12.75" customHeight="1">
      <c r="A378" s="7"/>
      <c r="B378" s="7"/>
      <c r="C378" s="8"/>
      <c r="D378" s="66"/>
      <c r="E378" s="7"/>
      <c r="F378" s="7"/>
      <c r="G378" s="7"/>
      <c r="H378" s="7"/>
      <c r="I378" s="7"/>
      <c r="J378" s="7"/>
      <c r="K378" s="7"/>
      <c r="L378" s="7"/>
      <c r="M378" s="7"/>
      <c r="N378" s="7"/>
      <c r="O378" s="7"/>
      <c r="P378" s="7"/>
      <c r="Q378" s="7"/>
      <c r="R378" s="7"/>
      <c r="S378" s="7"/>
      <c r="T378" s="7"/>
      <c r="U378" s="7"/>
      <c r="V378" s="7"/>
    </row>
    <row r="379" spans="1:22" ht="12.75" customHeight="1">
      <c r="A379" s="7"/>
      <c r="B379" s="7"/>
      <c r="C379" s="8"/>
      <c r="D379" s="66"/>
      <c r="E379" s="7"/>
      <c r="F379" s="7"/>
      <c r="G379" s="7"/>
      <c r="H379" s="7"/>
      <c r="I379" s="7"/>
      <c r="J379" s="7"/>
      <c r="K379" s="7"/>
      <c r="L379" s="7"/>
      <c r="M379" s="7"/>
      <c r="N379" s="7"/>
      <c r="O379" s="7"/>
      <c r="P379" s="7"/>
      <c r="Q379" s="7"/>
      <c r="R379" s="7"/>
      <c r="S379" s="7"/>
      <c r="T379" s="7"/>
      <c r="U379" s="7"/>
      <c r="V379" s="7"/>
    </row>
    <row r="380" spans="1:22" ht="12.75" customHeight="1">
      <c r="A380" s="7"/>
      <c r="B380" s="7"/>
      <c r="C380" s="8"/>
      <c r="D380" s="66"/>
      <c r="E380" s="7"/>
      <c r="F380" s="7"/>
      <c r="G380" s="7"/>
      <c r="H380" s="7"/>
      <c r="I380" s="7"/>
      <c r="J380" s="7"/>
      <c r="K380" s="7"/>
      <c r="L380" s="7"/>
      <c r="M380" s="7"/>
      <c r="N380" s="7"/>
      <c r="O380" s="7"/>
      <c r="P380" s="7"/>
      <c r="Q380" s="7"/>
      <c r="R380" s="7"/>
      <c r="S380" s="7"/>
      <c r="T380" s="7"/>
      <c r="U380" s="7"/>
      <c r="V380" s="7"/>
    </row>
    <row r="381" spans="1:22" ht="12.75" customHeight="1">
      <c r="A381" s="7"/>
      <c r="B381" s="7"/>
      <c r="C381" s="8"/>
      <c r="D381" s="66"/>
      <c r="E381" s="7"/>
      <c r="F381" s="7"/>
      <c r="G381" s="7"/>
      <c r="H381" s="7"/>
      <c r="I381" s="7"/>
      <c r="J381" s="7"/>
      <c r="K381" s="7"/>
      <c r="L381" s="7"/>
      <c r="M381" s="7"/>
      <c r="N381" s="7"/>
      <c r="O381" s="7"/>
      <c r="P381" s="7"/>
      <c r="Q381" s="7"/>
      <c r="R381" s="7"/>
      <c r="S381" s="7"/>
      <c r="T381" s="7"/>
      <c r="U381" s="7"/>
      <c r="V381" s="7"/>
    </row>
    <row r="382" spans="1:22" ht="12.75" customHeight="1">
      <c r="A382" s="7"/>
      <c r="B382" s="7"/>
      <c r="C382" s="8"/>
      <c r="D382" s="66"/>
      <c r="E382" s="7"/>
      <c r="F382" s="7"/>
      <c r="G382" s="7"/>
      <c r="H382" s="7"/>
      <c r="I382" s="7"/>
      <c r="J382" s="7"/>
      <c r="K382" s="7"/>
      <c r="L382" s="7"/>
      <c r="M382" s="7"/>
      <c r="N382" s="7"/>
      <c r="O382" s="7"/>
      <c r="P382" s="7"/>
      <c r="Q382" s="7"/>
      <c r="R382" s="7"/>
      <c r="S382" s="7"/>
      <c r="T382" s="7"/>
      <c r="U382" s="7"/>
      <c r="V382" s="7"/>
    </row>
    <row r="383" spans="1:22" ht="12.75" customHeight="1">
      <c r="A383" s="7"/>
      <c r="B383" s="7"/>
      <c r="C383" s="8"/>
      <c r="D383" s="66"/>
      <c r="E383" s="7"/>
      <c r="F383" s="7"/>
      <c r="G383" s="7"/>
      <c r="H383" s="7"/>
      <c r="I383" s="7"/>
      <c r="J383" s="7"/>
      <c r="K383" s="7"/>
      <c r="L383" s="7"/>
      <c r="M383" s="7"/>
      <c r="N383" s="7"/>
      <c r="O383" s="7"/>
      <c r="P383" s="7"/>
      <c r="Q383" s="7"/>
      <c r="R383" s="7"/>
      <c r="S383" s="7"/>
      <c r="T383" s="7"/>
      <c r="U383" s="7"/>
      <c r="V383" s="7"/>
    </row>
    <row r="384" spans="1:22" ht="12.75" customHeight="1">
      <c r="A384" s="7"/>
      <c r="B384" s="7"/>
      <c r="C384" s="8"/>
      <c r="D384" s="66"/>
      <c r="E384" s="7"/>
      <c r="F384" s="7"/>
      <c r="G384" s="7"/>
      <c r="H384" s="7"/>
      <c r="I384" s="7"/>
      <c r="J384" s="7"/>
      <c r="K384" s="7"/>
      <c r="L384" s="7"/>
      <c r="M384" s="7"/>
      <c r="N384" s="7"/>
      <c r="O384" s="7"/>
      <c r="P384" s="7"/>
      <c r="Q384" s="7"/>
      <c r="R384" s="7"/>
      <c r="S384" s="7"/>
      <c r="T384" s="7"/>
      <c r="U384" s="7"/>
      <c r="V384" s="7"/>
    </row>
    <row r="385" spans="1:22" ht="12.75" customHeight="1">
      <c r="A385" s="7"/>
      <c r="B385" s="7"/>
      <c r="C385" s="8"/>
      <c r="D385" s="66"/>
      <c r="E385" s="7"/>
      <c r="F385" s="7"/>
      <c r="G385" s="7"/>
      <c r="H385" s="7"/>
      <c r="I385" s="7"/>
      <c r="J385" s="7"/>
      <c r="K385" s="7"/>
      <c r="L385" s="7"/>
      <c r="M385" s="7"/>
      <c r="N385" s="7"/>
      <c r="O385" s="7"/>
      <c r="P385" s="7"/>
      <c r="Q385" s="7"/>
      <c r="R385" s="7"/>
      <c r="S385" s="7"/>
      <c r="T385" s="7"/>
      <c r="U385" s="7"/>
      <c r="V385" s="7"/>
    </row>
    <row r="386" spans="1:22" ht="12.75" customHeight="1">
      <c r="A386" s="7"/>
      <c r="B386" s="7"/>
      <c r="C386" s="8"/>
      <c r="D386" s="66"/>
      <c r="E386" s="7"/>
      <c r="F386" s="7"/>
      <c r="G386" s="7"/>
      <c r="H386" s="7"/>
      <c r="I386" s="7"/>
      <c r="J386" s="7"/>
      <c r="K386" s="7"/>
      <c r="L386" s="7"/>
      <c r="M386" s="7"/>
      <c r="N386" s="7"/>
      <c r="O386" s="7"/>
      <c r="P386" s="7"/>
      <c r="Q386" s="7"/>
      <c r="R386" s="7"/>
      <c r="S386" s="7"/>
      <c r="T386" s="7"/>
      <c r="U386" s="7"/>
      <c r="V386" s="7"/>
    </row>
    <row r="387" spans="1:22" ht="12.75" customHeight="1">
      <c r="A387" s="7"/>
      <c r="B387" s="7"/>
      <c r="C387" s="8"/>
      <c r="D387" s="66"/>
      <c r="E387" s="7"/>
      <c r="F387" s="7"/>
      <c r="G387" s="7"/>
      <c r="H387" s="7"/>
      <c r="I387" s="7"/>
      <c r="J387" s="7"/>
      <c r="K387" s="7"/>
      <c r="L387" s="7"/>
      <c r="M387" s="7"/>
      <c r="N387" s="7"/>
      <c r="O387" s="7"/>
      <c r="P387" s="7"/>
      <c r="Q387" s="7"/>
      <c r="R387" s="7"/>
      <c r="S387" s="7"/>
      <c r="T387" s="7"/>
      <c r="U387" s="7"/>
      <c r="V387" s="7"/>
    </row>
    <row r="388" spans="1:22" ht="12.75" customHeight="1">
      <c r="A388" s="7"/>
      <c r="B388" s="7"/>
      <c r="C388" s="8"/>
      <c r="D388" s="66"/>
      <c r="E388" s="7"/>
      <c r="F388" s="7"/>
      <c r="G388" s="7"/>
      <c r="H388" s="7"/>
      <c r="I388" s="7"/>
      <c r="J388" s="7"/>
      <c r="K388" s="7"/>
      <c r="L388" s="7"/>
      <c r="M388" s="7"/>
      <c r="N388" s="7"/>
      <c r="O388" s="7"/>
      <c r="P388" s="7"/>
      <c r="Q388" s="7"/>
      <c r="R388" s="7"/>
      <c r="S388" s="7"/>
      <c r="T388" s="7"/>
      <c r="U388" s="7"/>
      <c r="V388" s="7"/>
    </row>
    <row r="389" spans="1:22" ht="12.75" customHeight="1">
      <c r="A389" s="7"/>
      <c r="B389" s="7"/>
      <c r="C389" s="8"/>
      <c r="D389" s="66"/>
      <c r="E389" s="7"/>
      <c r="F389" s="7"/>
      <c r="G389" s="7"/>
      <c r="H389" s="7"/>
      <c r="I389" s="7"/>
      <c r="J389" s="7"/>
      <c r="K389" s="7"/>
      <c r="L389" s="7"/>
      <c r="M389" s="7"/>
      <c r="N389" s="7"/>
      <c r="O389" s="7"/>
      <c r="P389" s="7"/>
      <c r="Q389" s="7"/>
      <c r="R389" s="7"/>
      <c r="S389" s="7"/>
      <c r="T389" s="7"/>
      <c r="U389" s="7"/>
      <c r="V389" s="7"/>
    </row>
    <row r="390" spans="1:22" ht="12.75" customHeight="1">
      <c r="A390" s="7"/>
      <c r="B390" s="7"/>
      <c r="C390" s="8"/>
      <c r="D390" s="66"/>
      <c r="E390" s="7"/>
      <c r="F390" s="7"/>
      <c r="G390" s="7"/>
      <c r="H390" s="7"/>
      <c r="I390" s="7"/>
      <c r="J390" s="7"/>
      <c r="K390" s="7"/>
      <c r="L390" s="7"/>
      <c r="M390" s="7"/>
      <c r="N390" s="7"/>
      <c r="O390" s="7"/>
      <c r="P390" s="7"/>
      <c r="Q390" s="7"/>
      <c r="R390" s="7"/>
      <c r="S390" s="7"/>
      <c r="T390" s="7"/>
      <c r="U390" s="7"/>
      <c r="V390" s="7"/>
    </row>
    <row r="391" spans="1:22" ht="12.75" customHeight="1">
      <c r="A391" s="7"/>
      <c r="B391" s="7"/>
      <c r="C391" s="8"/>
      <c r="D391" s="66"/>
      <c r="E391" s="7"/>
      <c r="F391" s="7"/>
      <c r="G391" s="7"/>
      <c r="H391" s="7"/>
      <c r="I391" s="7"/>
      <c r="J391" s="7"/>
      <c r="K391" s="7"/>
      <c r="L391" s="7"/>
      <c r="M391" s="7"/>
      <c r="N391" s="7"/>
      <c r="O391" s="7"/>
      <c r="P391" s="7"/>
      <c r="Q391" s="7"/>
      <c r="R391" s="7"/>
      <c r="S391" s="7"/>
      <c r="T391" s="7"/>
      <c r="U391" s="7"/>
      <c r="V391" s="7"/>
    </row>
    <row r="392" spans="1:22" ht="12.75" customHeight="1">
      <c r="A392" s="7"/>
      <c r="B392" s="7"/>
      <c r="C392" s="8"/>
      <c r="D392" s="66"/>
      <c r="E392" s="7"/>
      <c r="F392" s="7"/>
      <c r="G392" s="7"/>
      <c r="H392" s="7"/>
      <c r="I392" s="7"/>
      <c r="J392" s="7"/>
      <c r="K392" s="7"/>
      <c r="L392" s="7"/>
      <c r="M392" s="7"/>
      <c r="N392" s="7"/>
      <c r="O392" s="7"/>
      <c r="P392" s="7"/>
      <c r="Q392" s="7"/>
      <c r="R392" s="7"/>
      <c r="S392" s="7"/>
      <c r="T392" s="7"/>
      <c r="U392" s="7"/>
      <c r="V392" s="7"/>
    </row>
    <row r="393" spans="1:22" ht="12.75" customHeight="1">
      <c r="A393" s="7"/>
      <c r="B393" s="7"/>
      <c r="C393" s="8"/>
      <c r="D393" s="66"/>
      <c r="E393" s="7"/>
      <c r="F393" s="7"/>
      <c r="G393" s="7"/>
      <c r="H393" s="7"/>
      <c r="I393" s="7"/>
      <c r="J393" s="7"/>
      <c r="K393" s="7"/>
      <c r="L393" s="7"/>
      <c r="M393" s="7"/>
      <c r="N393" s="7"/>
      <c r="O393" s="7"/>
      <c r="P393" s="7"/>
      <c r="Q393" s="7"/>
      <c r="R393" s="7"/>
      <c r="S393" s="7"/>
      <c r="T393" s="7"/>
      <c r="U393" s="7"/>
      <c r="V393" s="7"/>
    </row>
    <row r="394" spans="1:22" ht="12.75" customHeight="1">
      <c r="A394" s="7"/>
      <c r="B394" s="7"/>
      <c r="C394" s="8"/>
      <c r="D394" s="66"/>
      <c r="E394" s="7"/>
      <c r="F394" s="7"/>
      <c r="G394" s="7"/>
      <c r="H394" s="7"/>
      <c r="I394" s="7"/>
      <c r="J394" s="7"/>
      <c r="K394" s="7"/>
      <c r="L394" s="7"/>
      <c r="M394" s="7"/>
      <c r="N394" s="7"/>
      <c r="O394" s="7"/>
      <c r="P394" s="7"/>
      <c r="Q394" s="7"/>
      <c r="R394" s="7"/>
      <c r="S394" s="7"/>
      <c r="T394" s="7"/>
      <c r="U394" s="7"/>
      <c r="V394" s="7"/>
    </row>
    <row r="395" spans="1:22" ht="12.75" customHeight="1">
      <c r="A395" s="7"/>
      <c r="B395" s="7"/>
      <c r="C395" s="8"/>
      <c r="D395" s="66"/>
      <c r="E395" s="7"/>
      <c r="F395" s="7"/>
      <c r="G395" s="7"/>
      <c r="H395" s="7"/>
      <c r="I395" s="7"/>
      <c r="J395" s="7"/>
      <c r="K395" s="7"/>
      <c r="L395" s="7"/>
      <c r="M395" s="7"/>
      <c r="N395" s="7"/>
      <c r="O395" s="7"/>
      <c r="P395" s="7"/>
      <c r="Q395" s="7"/>
      <c r="R395" s="7"/>
      <c r="S395" s="7"/>
      <c r="T395" s="7"/>
      <c r="U395" s="7"/>
      <c r="V395" s="7"/>
    </row>
    <row r="396" spans="1:22" ht="12.75" customHeight="1">
      <c r="A396" s="7"/>
      <c r="B396" s="7"/>
      <c r="C396" s="8"/>
      <c r="D396" s="66"/>
      <c r="E396" s="7"/>
      <c r="F396" s="7"/>
      <c r="G396" s="7"/>
      <c r="H396" s="7"/>
      <c r="I396" s="7"/>
      <c r="J396" s="7"/>
      <c r="K396" s="7"/>
      <c r="L396" s="7"/>
      <c r="M396" s="7"/>
      <c r="N396" s="7"/>
      <c r="O396" s="7"/>
      <c r="P396" s="7"/>
      <c r="Q396" s="7"/>
      <c r="R396" s="7"/>
      <c r="S396" s="7"/>
      <c r="T396" s="7"/>
      <c r="U396" s="7"/>
      <c r="V396" s="7"/>
    </row>
    <row r="397" spans="1:22" ht="12.75" customHeight="1">
      <c r="A397" s="7"/>
      <c r="B397" s="7"/>
      <c r="C397" s="8"/>
      <c r="D397" s="66"/>
      <c r="E397" s="7"/>
      <c r="F397" s="7"/>
      <c r="G397" s="7"/>
      <c r="H397" s="7"/>
      <c r="I397" s="7"/>
      <c r="J397" s="7"/>
      <c r="K397" s="7"/>
      <c r="L397" s="7"/>
      <c r="M397" s="7"/>
      <c r="N397" s="7"/>
      <c r="O397" s="7"/>
      <c r="P397" s="7"/>
      <c r="Q397" s="7"/>
      <c r="R397" s="7"/>
      <c r="S397" s="7"/>
      <c r="T397" s="7"/>
      <c r="U397" s="7"/>
      <c r="V397" s="7"/>
    </row>
    <row r="398" spans="1:22" ht="12.75" customHeight="1">
      <c r="A398" s="7"/>
      <c r="B398" s="7"/>
      <c r="C398" s="8"/>
      <c r="D398" s="66"/>
      <c r="E398" s="7"/>
      <c r="F398" s="7"/>
      <c r="G398" s="7"/>
      <c r="H398" s="7"/>
      <c r="I398" s="7"/>
      <c r="J398" s="7"/>
      <c r="K398" s="7"/>
      <c r="L398" s="7"/>
      <c r="M398" s="7"/>
      <c r="N398" s="7"/>
      <c r="O398" s="7"/>
      <c r="P398" s="7"/>
      <c r="Q398" s="7"/>
      <c r="R398" s="7"/>
      <c r="S398" s="7"/>
      <c r="T398" s="7"/>
      <c r="U398" s="7"/>
      <c r="V398" s="7"/>
    </row>
    <row r="399" spans="1:22" ht="12.75" customHeight="1">
      <c r="A399" s="7"/>
      <c r="B399" s="7"/>
      <c r="C399" s="8"/>
      <c r="D399" s="66"/>
      <c r="E399" s="7"/>
      <c r="F399" s="7"/>
      <c r="G399" s="7"/>
      <c r="H399" s="7"/>
      <c r="I399" s="7"/>
      <c r="J399" s="7"/>
      <c r="K399" s="7"/>
      <c r="L399" s="7"/>
      <c r="M399" s="7"/>
      <c r="N399" s="7"/>
      <c r="O399" s="7"/>
      <c r="P399" s="7"/>
      <c r="Q399" s="7"/>
      <c r="R399" s="7"/>
      <c r="S399" s="7"/>
      <c r="T399" s="7"/>
      <c r="U399" s="7"/>
      <c r="V399" s="7"/>
    </row>
    <row r="400" spans="1:22" ht="12.75" customHeight="1">
      <c r="A400" s="7"/>
      <c r="B400" s="7"/>
      <c r="C400" s="8"/>
      <c r="D400" s="66"/>
      <c r="E400" s="7"/>
      <c r="F400" s="7"/>
      <c r="G400" s="7"/>
      <c r="H400" s="7"/>
      <c r="I400" s="7"/>
      <c r="J400" s="7"/>
      <c r="K400" s="7"/>
      <c r="L400" s="7"/>
      <c r="M400" s="7"/>
      <c r="N400" s="7"/>
      <c r="O400" s="7"/>
      <c r="P400" s="7"/>
      <c r="Q400" s="7"/>
      <c r="R400" s="7"/>
      <c r="S400" s="7"/>
      <c r="T400" s="7"/>
      <c r="U400" s="7"/>
      <c r="V400" s="7"/>
    </row>
    <row r="401" spans="1:22" ht="12.75" customHeight="1">
      <c r="A401" s="7"/>
      <c r="B401" s="7"/>
      <c r="C401" s="8"/>
      <c r="D401" s="66"/>
      <c r="E401" s="7"/>
      <c r="F401" s="7"/>
      <c r="G401" s="7"/>
      <c r="H401" s="7"/>
      <c r="I401" s="7"/>
      <c r="J401" s="7"/>
      <c r="K401" s="7"/>
      <c r="L401" s="7"/>
      <c r="M401" s="7"/>
      <c r="N401" s="7"/>
      <c r="O401" s="7"/>
      <c r="P401" s="7"/>
      <c r="Q401" s="7"/>
      <c r="R401" s="7"/>
      <c r="S401" s="7"/>
      <c r="T401" s="7"/>
      <c r="U401" s="7"/>
      <c r="V401" s="7"/>
    </row>
    <row r="402" spans="1:22" ht="12.75" customHeight="1">
      <c r="A402" s="7"/>
      <c r="B402" s="7"/>
      <c r="C402" s="8"/>
      <c r="D402" s="66"/>
      <c r="E402" s="7"/>
      <c r="F402" s="7"/>
      <c r="G402" s="7"/>
      <c r="H402" s="7"/>
      <c r="I402" s="7"/>
      <c r="J402" s="7"/>
      <c r="K402" s="7"/>
      <c r="L402" s="7"/>
      <c r="M402" s="7"/>
      <c r="N402" s="7"/>
      <c r="O402" s="7"/>
      <c r="P402" s="7"/>
      <c r="Q402" s="7"/>
      <c r="R402" s="7"/>
      <c r="S402" s="7"/>
      <c r="T402" s="7"/>
      <c r="U402" s="7"/>
      <c r="V402" s="7"/>
    </row>
    <row r="403" spans="1:22" ht="12.75" customHeight="1">
      <c r="A403" s="7"/>
      <c r="B403" s="7"/>
      <c r="C403" s="8"/>
      <c r="D403" s="66"/>
      <c r="E403" s="7"/>
      <c r="F403" s="7"/>
      <c r="G403" s="7"/>
      <c r="H403" s="7"/>
      <c r="I403" s="7"/>
      <c r="J403" s="7"/>
      <c r="K403" s="7"/>
      <c r="L403" s="7"/>
      <c r="M403" s="7"/>
      <c r="N403" s="7"/>
      <c r="O403" s="7"/>
      <c r="P403" s="7"/>
      <c r="Q403" s="7"/>
      <c r="R403" s="7"/>
      <c r="S403" s="7"/>
      <c r="T403" s="7"/>
      <c r="U403" s="7"/>
      <c r="V403" s="7"/>
    </row>
    <row r="404" spans="1:22" ht="12.75" customHeight="1">
      <c r="A404" s="7"/>
      <c r="B404" s="7"/>
      <c r="C404" s="8"/>
      <c r="D404" s="66"/>
      <c r="E404" s="7"/>
      <c r="F404" s="7"/>
      <c r="G404" s="7"/>
      <c r="H404" s="7"/>
      <c r="I404" s="7"/>
      <c r="J404" s="7"/>
      <c r="K404" s="7"/>
      <c r="L404" s="7"/>
      <c r="M404" s="7"/>
      <c r="N404" s="7"/>
      <c r="O404" s="7"/>
      <c r="P404" s="7"/>
      <c r="Q404" s="7"/>
      <c r="R404" s="7"/>
      <c r="S404" s="7"/>
      <c r="T404" s="7"/>
      <c r="U404" s="7"/>
      <c r="V404" s="7"/>
    </row>
    <row r="405" spans="1:22" ht="12.75" customHeight="1">
      <c r="A405" s="7"/>
      <c r="B405" s="7"/>
      <c r="C405" s="8"/>
      <c r="D405" s="66"/>
      <c r="E405" s="7"/>
      <c r="F405" s="7"/>
      <c r="G405" s="7"/>
      <c r="H405" s="7"/>
      <c r="I405" s="7"/>
      <c r="J405" s="7"/>
      <c r="K405" s="7"/>
      <c r="L405" s="7"/>
      <c r="M405" s="7"/>
      <c r="N405" s="7"/>
      <c r="O405" s="7"/>
      <c r="P405" s="7"/>
      <c r="Q405" s="7"/>
      <c r="R405" s="7"/>
      <c r="S405" s="7"/>
      <c r="T405" s="7"/>
      <c r="U405" s="7"/>
      <c r="V405" s="7"/>
    </row>
    <row r="406" spans="1:22" ht="12.75" customHeight="1">
      <c r="A406" s="7"/>
      <c r="B406" s="7"/>
      <c r="C406" s="8"/>
      <c r="D406" s="66"/>
      <c r="E406" s="7"/>
      <c r="F406" s="7"/>
      <c r="G406" s="7"/>
      <c r="H406" s="7"/>
      <c r="I406" s="7"/>
      <c r="J406" s="7"/>
      <c r="K406" s="7"/>
      <c r="L406" s="7"/>
      <c r="M406" s="7"/>
      <c r="N406" s="7"/>
      <c r="O406" s="7"/>
      <c r="P406" s="7"/>
      <c r="Q406" s="7"/>
      <c r="R406" s="7"/>
      <c r="S406" s="7"/>
      <c r="T406" s="7"/>
      <c r="U406" s="7"/>
      <c r="V406" s="7"/>
    </row>
    <row r="407" spans="1:22" ht="12.75" customHeight="1">
      <c r="A407" s="7"/>
      <c r="B407" s="7"/>
      <c r="C407" s="8"/>
      <c r="D407" s="66"/>
      <c r="E407" s="7"/>
      <c r="F407" s="7"/>
      <c r="G407" s="7"/>
      <c r="H407" s="7"/>
      <c r="I407" s="7"/>
      <c r="J407" s="7"/>
      <c r="K407" s="7"/>
      <c r="L407" s="7"/>
      <c r="M407" s="7"/>
      <c r="N407" s="7"/>
      <c r="O407" s="7"/>
      <c r="P407" s="7"/>
      <c r="Q407" s="7"/>
      <c r="R407" s="7"/>
      <c r="S407" s="7"/>
      <c r="T407" s="7"/>
      <c r="U407" s="7"/>
      <c r="V407" s="7"/>
    </row>
    <row r="408" spans="1:22" ht="12.75" customHeight="1">
      <c r="A408" s="7"/>
      <c r="B408" s="7"/>
      <c r="C408" s="8"/>
      <c r="D408" s="66"/>
      <c r="E408" s="7"/>
      <c r="F408" s="7"/>
      <c r="G408" s="7"/>
      <c r="H408" s="7"/>
      <c r="I408" s="7"/>
      <c r="J408" s="7"/>
      <c r="K408" s="7"/>
      <c r="L408" s="7"/>
      <c r="M408" s="7"/>
      <c r="N408" s="7"/>
      <c r="O408" s="7"/>
      <c r="P408" s="7"/>
      <c r="Q408" s="7"/>
      <c r="R408" s="7"/>
      <c r="S408" s="7"/>
      <c r="T408" s="7"/>
      <c r="U408" s="7"/>
      <c r="V408" s="7"/>
    </row>
    <row r="409" spans="1:22" ht="12.75" customHeight="1">
      <c r="A409" s="7"/>
      <c r="B409" s="7"/>
      <c r="C409" s="8"/>
      <c r="D409" s="66"/>
      <c r="E409" s="7"/>
      <c r="F409" s="7"/>
      <c r="G409" s="7"/>
      <c r="H409" s="7"/>
      <c r="I409" s="7"/>
      <c r="J409" s="7"/>
      <c r="K409" s="7"/>
      <c r="L409" s="7"/>
      <c r="M409" s="7"/>
      <c r="N409" s="7"/>
      <c r="O409" s="7"/>
      <c r="P409" s="7"/>
      <c r="Q409" s="7"/>
      <c r="R409" s="7"/>
      <c r="S409" s="7"/>
      <c r="T409" s="7"/>
      <c r="U409" s="7"/>
      <c r="V409" s="7"/>
    </row>
    <row r="410" spans="1:22" ht="12.75" customHeight="1">
      <c r="A410" s="7"/>
      <c r="B410" s="7"/>
      <c r="C410" s="8"/>
      <c r="D410" s="66"/>
      <c r="E410" s="7"/>
      <c r="F410" s="7"/>
      <c r="G410" s="7"/>
      <c r="H410" s="7"/>
      <c r="I410" s="7"/>
      <c r="J410" s="7"/>
      <c r="K410" s="7"/>
      <c r="L410" s="7"/>
      <c r="M410" s="7"/>
      <c r="N410" s="7"/>
      <c r="O410" s="7"/>
      <c r="P410" s="7"/>
      <c r="Q410" s="7"/>
      <c r="R410" s="7"/>
      <c r="S410" s="7"/>
      <c r="T410" s="7"/>
      <c r="U410" s="7"/>
      <c r="V410" s="7"/>
    </row>
    <row r="411" spans="1:22" ht="12.75" customHeight="1">
      <c r="A411" s="7"/>
      <c r="B411" s="7"/>
      <c r="C411" s="8"/>
      <c r="D411" s="66"/>
      <c r="E411" s="7"/>
      <c r="F411" s="7"/>
      <c r="G411" s="7"/>
      <c r="H411" s="7"/>
      <c r="I411" s="7"/>
      <c r="J411" s="7"/>
      <c r="K411" s="7"/>
      <c r="L411" s="7"/>
      <c r="M411" s="7"/>
      <c r="N411" s="7"/>
      <c r="O411" s="7"/>
      <c r="P411" s="7"/>
      <c r="Q411" s="7"/>
      <c r="R411" s="7"/>
      <c r="S411" s="7"/>
      <c r="T411" s="7"/>
      <c r="U411" s="7"/>
      <c r="V411" s="7"/>
    </row>
    <row r="412" spans="1:22" ht="12.75" customHeight="1">
      <c r="A412" s="7"/>
      <c r="B412" s="7"/>
      <c r="C412" s="8"/>
      <c r="D412" s="66"/>
      <c r="E412" s="7"/>
      <c r="F412" s="7"/>
      <c r="G412" s="7"/>
      <c r="H412" s="7"/>
      <c r="I412" s="7"/>
      <c r="J412" s="7"/>
      <c r="K412" s="7"/>
      <c r="L412" s="7"/>
      <c r="M412" s="7"/>
      <c r="N412" s="7"/>
      <c r="O412" s="7"/>
      <c r="P412" s="7"/>
      <c r="Q412" s="7"/>
      <c r="R412" s="7"/>
      <c r="S412" s="7"/>
      <c r="T412" s="7"/>
      <c r="U412" s="7"/>
      <c r="V412" s="7"/>
    </row>
    <row r="413" spans="1:22" ht="12.75" customHeight="1">
      <c r="A413" s="7"/>
      <c r="B413" s="7"/>
      <c r="C413" s="8"/>
      <c r="D413" s="66"/>
      <c r="E413" s="7"/>
      <c r="F413" s="7"/>
      <c r="G413" s="7"/>
      <c r="H413" s="7"/>
      <c r="I413" s="7"/>
      <c r="J413" s="7"/>
      <c r="K413" s="7"/>
      <c r="L413" s="7"/>
      <c r="M413" s="7"/>
      <c r="N413" s="7"/>
      <c r="O413" s="7"/>
      <c r="P413" s="7"/>
      <c r="Q413" s="7"/>
      <c r="R413" s="7"/>
      <c r="S413" s="7"/>
      <c r="T413" s="7"/>
      <c r="U413" s="7"/>
      <c r="V413" s="7"/>
    </row>
    <row r="414" spans="1:22" ht="12.75" customHeight="1">
      <c r="A414" s="7"/>
      <c r="B414" s="7"/>
      <c r="C414" s="8"/>
      <c r="D414" s="66"/>
      <c r="E414" s="7"/>
      <c r="F414" s="7"/>
      <c r="G414" s="7"/>
      <c r="H414" s="7"/>
      <c r="I414" s="7"/>
      <c r="J414" s="7"/>
      <c r="K414" s="7"/>
      <c r="L414" s="7"/>
      <c r="M414" s="7"/>
      <c r="N414" s="7"/>
      <c r="O414" s="7"/>
      <c r="P414" s="7"/>
      <c r="Q414" s="7"/>
      <c r="R414" s="7"/>
      <c r="S414" s="7"/>
      <c r="T414" s="7"/>
      <c r="U414" s="7"/>
      <c r="V414" s="7"/>
    </row>
    <row r="415" spans="1:22" ht="12.75" customHeight="1">
      <c r="A415" s="7"/>
      <c r="B415" s="7"/>
      <c r="C415" s="8"/>
      <c r="D415" s="66"/>
      <c r="E415" s="7"/>
      <c r="F415" s="7"/>
      <c r="G415" s="7"/>
      <c r="H415" s="7"/>
      <c r="I415" s="7"/>
      <c r="J415" s="7"/>
      <c r="K415" s="7"/>
      <c r="L415" s="7"/>
      <c r="M415" s="7"/>
      <c r="N415" s="7"/>
      <c r="O415" s="7"/>
      <c r="P415" s="7"/>
      <c r="Q415" s="7"/>
      <c r="R415" s="7"/>
      <c r="S415" s="7"/>
      <c r="T415" s="7"/>
      <c r="U415" s="7"/>
      <c r="V415" s="7"/>
    </row>
    <row r="416" spans="1:22" ht="12.75" customHeight="1">
      <c r="A416" s="7"/>
      <c r="B416" s="7"/>
      <c r="C416" s="8"/>
      <c r="D416" s="66"/>
      <c r="E416" s="7"/>
      <c r="F416" s="7"/>
      <c r="G416" s="7"/>
      <c r="H416" s="7"/>
      <c r="I416" s="7"/>
      <c r="J416" s="7"/>
      <c r="K416" s="7"/>
      <c r="L416" s="7"/>
      <c r="M416" s="7"/>
      <c r="N416" s="7"/>
      <c r="O416" s="7"/>
      <c r="P416" s="7"/>
      <c r="Q416" s="7"/>
      <c r="R416" s="7"/>
      <c r="S416" s="7"/>
      <c r="T416" s="7"/>
      <c r="U416" s="7"/>
      <c r="V416" s="7"/>
    </row>
    <row r="417" spans="1:22" ht="12.75" customHeight="1">
      <c r="A417" s="7"/>
      <c r="B417" s="7"/>
      <c r="C417" s="8"/>
      <c r="D417" s="66"/>
      <c r="E417" s="7"/>
      <c r="F417" s="7"/>
      <c r="G417" s="7"/>
      <c r="H417" s="7"/>
      <c r="I417" s="7"/>
      <c r="J417" s="7"/>
      <c r="K417" s="7"/>
      <c r="L417" s="7"/>
      <c r="M417" s="7"/>
      <c r="N417" s="7"/>
      <c r="O417" s="7"/>
      <c r="P417" s="7"/>
      <c r="Q417" s="7"/>
      <c r="R417" s="7"/>
      <c r="S417" s="7"/>
      <c r="T417" s="7"/>
      <c r="U417" s="7"/>
      <c r="V417" s="7"/>
    </row>
    <row r="418" spans="1:22" ht="12.75" customHeight="1">
      <c r="A418" s="7"/>
      <c r="B418" s="7"/>
      <c r="C418" s="8"/>
      <c r="D418" s="66"/>
      <c r="E418" s="7"/>
      <c r="F418" s="7"/>
      <c r="G418" s="7"/>
      <c r="H418" s="7"/>
      <c r="I418" s="7"/>
      <c r="J418" s="7"/>
      <c r="K418" s="7"/>
      <c r="L418" s="7"/>
      <c r="M418" s="7"/>
      <c r="N418" s="7"/>
      <c r="O418" s="7"/>
      <c r="P418" s="7"/>
      <c r="Q418" s="7"/>
      <c r="R418" s="7"/>
      <c r="S418" s="7"/>
      <c r="T418" s="7"/>
      <c r="U418" s="7"/>
      <c r="V418" s="7"/>
    </row>
    <row r="419" spans="1:22" ht="12.75" customHeight="1">
      <c r="A419" s="7"/>
      <c r="B419" s="7"/>
      <c r="C419" s="8"/>
      <c r="D419" s="66"/>
      <c r="E419" s="7"/>
      <c r="F419" s="7"/>
      <c r="G419" s="7"/>
      <c r="H419" s="7"/>
      <c r="I419" s="7"/>
      <c r="J419" s="7"/>
      <c r="K419" s="7"/>
      <c r="L419" s="7"/>
      <c r="M419" s="7"/>
      <c r="N419" s="7"/>
      <c r="O419" s="7"/>
      <c r="P419" s="7"/>
      <c r="Q419" s="7"/>
      <c r="R419" s="7"/>
      <c r="S419" s="7"/>
      <c r="T419" s="7"/>
      <c r="U419" s="7"/>
      <c r="V419" s="7"/>
    </row>
    <row r="420" spans="1:22" ht="12.75" customHeight="1">
      <c r="A420" s="7"/>
      <c r="B420" s="7"/>
      <c r="C420" s="8"/>
      <c r="D420" s="66"/>
      <c r="E420" s="7"/>
      <c r="F420" s="7"/>
      <c r="G420" s="7"/>
      <c r="H420" s="7"/>
      <c r="I420" s="7"/>
      <c r="J420" s="7"/>
      <c r="K420" s="7"/>
      <c r="L420" s="7"/>
      <c r="M420" s="7"/>
      <c r="N420" s="7"/>
      <c r="O420" s="7"/>
      <c r="P420" s="7"/>
      <c r="Q420" s="7"/>
      <c r="R420" s="7"/>
      <c r="S420" s="7"/>
      <c r="T420" s="7"/>
      <c r="U420" s="7"/>
      <c r="V420" s="7"/>
    </row>
    <row r="421" spans="1:22" ht="12.75" customHeight="1">
      <c r="A421" s="7"/>
      <c r="B421" s="7"/>
      <c r="C421" s="8"/>
      <c r="D421" s="66"/>
      <c r="E421" s="7"/>
      <c r="F421" s="7"/>
      <c r="G421" s="7"/>
      <c r="H421" s="7"/>
      <c r="I421" s="7"/>
      <c r="J421" s="7"/>
      <c r="K421" s="7"/>
      <c r="L421" s="7"/>
      <c r="M421" s="7"/>
      <c r="N421" s="7"/>
      <c r="O421" s="7"/>
      <c r="P421" s="7"/>
      <c r="Q421" s="7"/>
      <c r="R421" s="7"/>
      <c r="S421" s="7"/>
      <c r="T421" s="7"/>
      <c r="U421" s="7"/>
      <c r="V421" s="7"/>
    </row>
    <row r="422" spans="1:22" ht="12.75" customHeight="1">
      <c r="A422" s="7"/>
      <c r="B422" s="7"/>
      <c r="C422" s="8"/>
      <c r="D422" s="66"/>
      <c r="E422" s="7"/>
      <c r="F422" s="7"/>
      <c r="G422" s="7"/>
      <c r="H422" s="7"/>
      <c r="I422" s="7"/>
      <c r="J422" s="7"/>
      <c r="K422" s="7"/>
      <c r="L422" s="7"/>
      <c r="M422" s="7"/>
      <c r="N422" s="7"/>
      <c r="O422" s="7"/>
      <c r="P422" s="7"/>
      <c r="Q422" s="7"/>
      <c r="R422" s="7"/>
      <c r="S422" s="7"/>
      <c r="T422" s="7"/>
      <c r="U422" s="7"/>
      <c r="V422" s="7"/>
    </row>
    <row r="423" spans="1:22" ht="12.75" customHeight="1">
      <c r="A423" s="7"/>
      <c r="B423" s="7"/>
      <c r="C423" s="8"/>
      <c r="D423" s="66"/>
      <c r="E423" s="7"/>
      <c r="F423" s="7"/>
      <c r="G423" s="7"/>
      <c r="H423" s="7"/>
      <c r="I423" s="7"/>
      <c r="J423" s="7"/>
      <c r="K423" s="7"/>
      <c r="L423" s="7"/>
      <c r="M423" s="7"/>
      <c r="N423" s="7"/>
      <c r="O423" s="7"/>
      <c r="P423" s="7"/>
      <c r="Q423" s="7"/>
      <c r="R423" s="7"/>
      <c r="S423" s="7"/>
      <c r="T423" s="7"/>
      <c r="U423" s="7"/>
      <c r="V423" s="7"/>
    </row>
    <row r="424" spans="1:22" ht="12.75" customHeight="1">
      <c r="A424" s="7"/>
      <c r="B424" s="7"/>
      <c r="C424" s="8"/>
      <c r="D424" s="66"/>
      <c r="E424" s="7"/>
      <c r="F424" s="7"/>
      <c r="G424" s="7"/>
      <c r="H424" s="7"/>
      <c r="I424" s="7"/>
      <c r="J424" s="7"/>
      <c r="K424" s="7"/>
      <c r="L424" s="7"/>
      <c r="M424" s="7"/>
      <c r="N424" s="7"/>
      <c r="O424" s="7"/>
      <c r="P424" s="7"/>
      <c r="Q424" s="7"/>
      <c r="R424" s="7"/>
      <c r="S424" s="7"/>
      <c r="T424" s="7"/>
      <c r="U424" s="7"/>
      <c r="V424" s="7"/>
    </row>
    <row r="425" spans="1:22" ht="12.75" customHeight="1">
      <c r="A425" s="7"/>
      <c r="B425" s="7"/>
      <c r="C425" s="8"/>
      <c r="D425" s="66"/>
      <c r="E425" s="7"/>
      <c r="F425" s="7"/>
      <c r="G425" s="7"/>
      <c r="H425" s="7"/>
      <c r="I425" s="7"/>
      <c r="J425" s="7"/>
      <c r="K425" s="7"/>
      <c r="L425" s="7"/>
      <c r="M425" s="7"/>
      <c r="N425" s="7"/>
      <c r="O425" s="7"/>
      <c r="P425" s="7"/>
      <c r="Q425" s="7"/>
      <c r="R425" s="7"/>
      <c r="S425" s="7"/>
      <c r="T425" s="7"/>
      <c r="U425" s="7"/>
      <c r="V425" s="7"/>
    </row>
    <row r="426" spans="1:22" ht="12.75" customHeight="1">
      <c r="A426" s="7"/>
      <c r="B426" s="7"/>
      <c r="C426" s="8"/>
      <c r="D426" s="66"/>
      <c r="E426" s="7"/>
      <c r="F426" s="7"/>
      <c r="G426" s="7"/>
      <c r="H426" s="7"/>
      <c r="I426" s="7"/>
      <c r="J426" s="7"/>
      <c r="K426" s="7"/>
      <c r="L426" s="7"/>
      <c r="M426" s="7"/>
      <c r="N426" s="7"/>
      <c r="O426" s="7"/>
      <c r="P426" s="7"/>
      <c r="Q426" s="7"/>
      <c r="R426" s="7"/>
      <c r="S426" s="7"/>
      <c r="T426" s="7"/>
      <c r="U426" s="7"/>
      <c r="V426" s="7"/>
    </row>
    <row r="427" spans="1:22" ht="12.75" customHeight="1">
      <c r="A427" s="7"/>
      <c r="B427" s="7"/>
      <c r="C427" s="8"/>
      <c r="D427" s="66"/>
      <c r="E427" s="7"/>
      <c r="F427" s="7"/>
      <c r="G427" s="7"/>
      <c r="H427" s="7"/>
      <c r="I427" s="7"/>
      <c r="J427" s="7"/>
      <c r="K427" s="7"/>
      <c r="L427" s="7"/>
      <c r="M427" s="7"/>
      <c r="N427" s="7"/>
      <c r="O427" s="7"/>
      <c r="P427" s="7"/>
      <c r="Q427" s="7"/>
      <c r="R427" s="7"/>
      <c r="S427" s="7"/>
      <c r="T427" s="7"/>
      <c r="U427" s="7"/>
      <c r="V427" s="7"/>
    </row>
    <row r="428" spans="1:22" ht="12.75" customHeight="1">
      <c r="A428" s="7"/>
      <c r="B428" s="7"/>
      <c r="C428" s="8"/>
      <c r="D428" s="66"/>
      <c r="E428" s="7"/>
      <c r="F428" s="7"/>
      <c r="G428" s="7"/>
      <c r="H428" s="7"/>
      <c r="I428" s="7"/>
      <c r="J428" s="7"/>
      <c r="K428" s="7"/>
      <c r="L428" s="7"/>
      <c r="M428" s="7"/>
      <c r="N428" s="7"/>
      <c r="O428" s="7"/>
      <c r="P428" s="7"/>
      <c r="Q428" s="7"/>
      <c r="R428" s="7"/>
      <c r="S428" s="7"/>
      <c r="T428" s="7"/>
      <c r="U428" s="7"/>
      <c r="V428" s="7"/>
    </row>
    <row r="429" spans="1:22" ht="12.75" customHeight="1">
      <c r="A429" s="7"/>
      <c r="B429" s="7"/>
      <c r="C429" s="8"/>
      <c r="D429" s="66"/>
      <c r="E429" s="7"/>
      <c r="F429" s="7"/>
      <c r="G429" s="7"/>
      <c r="H429" s="7"/>
      <c r="I429" s="7"/>
      <c r="J429" s="7"/>
      <c r="K429" s="7"/>
      <c r="L429" s="7"/>
      <c r="M429" s="7"/>
      <c r="N429" s="7"/>
      <c r="O429" s="7"/>
      <c r="P429" s="7"/>
      <c r="Q429" s="7"/>
      <c r="R429" s="7"/>
      <c r="S429" s="7"/>
      <c r="T429" s="7"/>
      <c r="U429" s="7"/>
      <c r="V429" s="7"/>
    </row>
    <row r="430" spans="1:22" ht="12.75" customHeight="1">
      <c r="A430" s="7"/>
      <c r="B430" s="7"/>
      <c r="C430" s="8"/>
      <c r="D430" s="66"/>
      <c r="E430" s="7"/>
      <c r="F430" s="7"/>
      <c r="G430" s="7"/>
      <c r="H430" s="7"/>
      <c r="I430" s="7"/>
      <c r="J430" s="7"/>
      <c r="K430" s="7"/>
      <c r="L430" s="7"/>
      <c r="M430" s="7"/>
      <c r="N430" s="7"/>
      <c r="O430" s="7"/>
      <c r="P430" s="7"/>
      <c r="Q430" s="7"/>
      <c r="R430" s="7"/>
      <c r="S430" s="7"/>
      <c r="T430" s="7"/>
      <c r="U430" s="7"/>
      <c r="V430" s="7"/>
    </row>
    <row r="431" spans="1:22" ht="12.75" customHeight="1">
      <c r="A431" s="7"/>
      <c r="B431" s="7"/>
      <c r="C431" s="8"/>
      <c r="D431" s="66"/>
      <c r="E431" s="7"/>
      <c r="F431" s="7"/>
      <c r="G431" s="7"/>
      <c r="H431" s="7"/>
      <c r="I431" s="7"/>
      <c r="J431" s="7"/>
      <c r="K431" s="7"/>
      <c r="L431" s="7"/>
      <c r="M431" s="7"/>
      <c r="N431" s="7"/>
      <c r="O431" s="7"/>
      <c r="P431" s="7"/>
      <c r="Q431" s="7"/>
      <c r="R431" s="7"/>
      <c r="S431" s="7"/>
      <c r="T431" s="7"/>
      <c r="U431" s="7"/>
      <c r="V431" s="7"/>
    </row>
    <row r="432" spans="1:22" ht="12.75" customHeight="1">
      <c r="A432" s="7"/>
      <c r="B432" s="7"/>
      <c r="C432" s="8"/>
      <c r="D432" s="66"/>
      <c r="E432" s="7"/>
      <c r="F432" s="7"/>
      <c r="G432" s="7"/>
      <c r="H432" s="7"/>
      <c r="I432" s="7"/>
      <c r="J432" s="7"/>
      <c r="K432" s="7"/>
      <c r="L432" s="7"/>
      <c r="M432" s="7"/>
      <c r="N432" s="7"/>
      <c r="O432" s="7"/>
      <c r="P432" s="7"/>
      <c r="Q432" s="7"/>
      <c r="R432" s="7"/>
      <c r="S432" s="7"/>
      <c r="T432" s="7"/>
      <c r="U432" s="7"/>
      <c r="V432" s="7"/>
    </row>
    <row r="433" spans="1:22" ht="12.75" customHeight="1">
      <c r="A433" s="7"/>
      <c r="B433" s="7"/>
      <c r="C433" s="8"/>
      <c r="D433" s="66"/>
      <c r="E433" s="7"/>
      <c r="F433" s="7"/>
      <c r="G433" s="7"/>
      <c r="H433" s="7"/>
      <c r="I433" s="7"/>
      <c r="J433" s="7"/>
      <c r="K433" s="7"/>
      <c r="L433" s="7"/>
      <c r="M433" s="7"/>
      <c r="N433" s="7"/>
      <c r="O433" s="7"/>
      <c r="P433" s="7"/>
      <c r="Q433" s="7"/>
      <c r="R433" s="7"/>
      <c r="S433" s="7"/>
      <c r="T433" s="7"/>
      <c r="U433" s="7"/>
      <c r="V433" s="7"/>
    </row>
    <row r="434" spans="1:22" ht="12.75" customHeight="1">
      <c r="A434" s="7"/>
      <c r="B434" s="7"/>
      <c r="C434" s="8"/>
      <c r="D434" s="66"/>
      <c r="E434" s="7"/>
      <c r="F434" s="7"/>
      <c r="G434" s="7"/>
      <c r="H434" s="7"/>
      <c r="I434" s="7"/>
      <c r="J434" s="7"/>
      <c r="K434" s="7"/>
      <c r="L434" s="7"/>
      <c r="M434" s="7"/>
      <c r="N434" s="7"/>
      <c r="O434" s="7"/>
      <c r="P434" s="7"/>
      <c r="Q434" s="7"/>
      <c r="R434" s="7"/>
      <c r="S434" s="7"/>
      <c r="T434" s="7"/>
      <c r="U434" s="7"/>
      <c r="V434" s="7"/>
    </row>
    <row r="435" spans="1:22" ht="12.75" customHeight="1">
      <c r="A435" s="7"/>
      <c r="B435" s="7"/>
      <c r="C435" s="8"/>
      <c r="D435" s="66"/>
      <c r="E435" s="7"/>
      <c r="F435" s="7"/>
      <c r="G435" s="7"/>
      <c r="H435" s="7"/>
      <c r="I435" s="7"/>
      <c r="J435" s="7"/>
      <c r="K435" s="7"/>
      <c r="L435" s="7"/>
      <c r="M435" s="7"/>
      <c r="N435" s="7"/>
      <c r="O435" s="7"/>
      <c r="P435" s="7"/>
      <c r="Q435" s="7"/>
      <c r="R435" s="7"/>
      <c r="S435" s="7"/>
      <c r="T435" s="7"/>
      <c r="U435" s="7"/>
      <c r="V435" s="7"/>
    </row>
    <row r="436" spans="1:22" ht="12.75" customHeight="1">
      <c r="A436" s="7"/>
      <c r="B436" s="7"/>
      <c r="C436" s="8"/>
      <c r="D436" s="66"/>
      <c r="E436" s="7"/>
      <c r="F436" s="7"/>
      <c r="G436" s="7"/>
      <c r="H436" s="7"/>
      <c r="I436" s="7"/>
      <c r="J436" s="7"/>
      <c r="K436" s="7"/>
      <c r="L436" s="7"/>
      <c r="M436" s="7"/>
      <c r="N436" s="7"/>
      <c r="O436" s="7"/>
      <c r="P436" s="7"/>
      <c r="Q436" s="7"/>
      <c r="R436" s="7"/>
      <c r="S436" s="7"/>
      <c r="T436" s="7"/>
      <c r="U436" s="7"/>
      <c r="V436" s="7"/>
    </row>
    <row r="437" spans="1:22" ht="12.75" customHeight="1">
      <c r="A437" s="7"/>
      <c r="B437" s="7"/>
      <c r="C437" s="8"/>
      <c r="D437" s="66"/>
      <c r="E437" s="7"/>
      <c r="F437" s="7"/>
      <c r="G437" s="7"/>
      <c r="H437" s="7"/>
      <c r="I437" s="7"/>
      <c r="J437" s="7"/>
      <c r="K437" s="7"/>
      <c r="L437" s="7"/>
      <c r="M437" s="7"/>
      <c r="N437" s="7"/>
      <c r="O437" s="7"/>
      <c r="P437" s="7"/>
      <c r="Q437" s="7"/>
      <c r="R437" s="7"/>
      <c r="S437" s="7"/>
      <c r="T437" s="7"/>
      <c r="U437" s="7"/>
      <c r="V437" s="7"/>
    </row>
    <row r="438" spans="1:22" ht="12.75" customHeight="1">
      <c r="A438" s="7"/>
      <c r="B438" s="7"/>
      <c r="C438" s="8"/>
      <c r="D438" s="66"/>
      <c r="E438" s="7"/>
      <c r="F438" s="7"/>
      <c r="G438" s="7"/>
      <c r="H438" s="7"/>
      <c r="I438" s="7"/>
      <c r="J438" s="7"/>
      <c r="K438" s="7"/>
      <c r="L438" s="7"/>
      <c r="M438" s="7"/>
      <c r="N438" s="7"/>
      <c r="O438" s="7"/>
      <c r="P438" s="7"/>
      <c r="Q438" s="7"/>
      <c r="R438" s="7"/>
      <c r="S438" s="7"/>
      <c r="T438" s="7"/>
      <c r="U438" s="7"/>
      <c r="V438" s="7"/>
    </row>
    <row r="439" spans="1:22" ht="12.75" customHeight="1">
      <c r="A439" s="7"/>
      <c r="B439" s="7"/>
      <c r="C439" s="8"/>
      <c r="D439" s="66"/>
      <c r="E439" s="7"/>
      <c r="F439" s="7"/>
      <c r="G439" s="7"/>
      <c r="H439" s="7"/>
      <c r="I439" s="7"/>
      <c r="J439" s="7"/>
      <c r="K439" s="7"/>
      <c r="L439" s="7"/>
      <c r="M439" s="7"/>
      <c r="N439" s="7"/>
      <c r="O439" s="7"/>
      <c r="P439" s="7"/>
      <c r="Q439" s="7"/>
      <c r="R439" s="7"/>
      <c r="S439" s="7"/>
      <c r="T439" s="7"/>
      <c r="U439" s="7"/>
      <c r="V439" s="7"/>
    </row>
    <row r="440" spans="1:22" ht="12.75" customHeight="1">
      <c r="A440" s="7"/>
      <c r="B440" s="7"/>
      <c r="C440" s="8"/>
      <c r="D440" s="66"/>
      <c r="E440" s="7"/>
      <c r="F440" s="7"/>
      <c r="G440" s="7"/>
      <c r="H440" s="7"/>
      <c r="I440" s="7"/>
      <c r="J440" s="7"/>
      <c r="K440" s="7"/>
      <c r="L440" s="7"/>
      <c r="M440" s="7"/>
      <c r="N440" s="7"/>
      <c r="O440" s="7"/>
      <c r="P440" s="7"/>
      <c r="Q440" s="7"/>
      <c r="R440" s="7"/>
      <c r="S440" s="7"/>
      <c r="T440" s="7"/>
      <c r="U440" s="7"/>
      <c r="V440" s="7"/>
    </row>
    <row r="441" spans="1:22" ht="12.75" customHeight="1">
      <c r="A441" s="7"/>
      <c r="B441" s="7"/>
      <c r="C441" s="8"/>
      <c r="D441" s="66"/>
      <c r="E441" s="7"/>
      <c r="F441" s="7"/>
      <c r="G441" s="7"/>
      <c r="H441" s="7"/>
      <c r="I441" s="7"/>
      <c r="J441" s="7"/>
      <c r="K441" s="7"/>
      <c r="L441" s="7"/>
      <c r="M441" s="7"/>
      <c r="N441" s="7"/>
      <c r="O441" s="7"/>
      <c r="P441" s="7"/>
      <c r="Q441" s="7"/>
      <c r="R441" s="7"/>
      <c r="S441" s="7"/>
      <c r="T441" s="7"/>
      <c r="U441" s="7"/>
      <c r="V441" s="7"/>
    </row>
    <row r="442" spans="1:22" ht="12.75" customHeight="1">
      <c r="A442" s="7"/>
      <c r="B442" s="7"/>
      <c r="C442" s="8"/>
      <c r="D442" s="66"/>
      <c r="E442" s="7"/>
      <c r="F442" s="7"/>
      <c r="G442" s="7"/>
      <c r="H442" s="7"/>
      <c r="I442" s="7"/>
      <c r="J442" s="7"/>
      <c r="K442" s="7"/>
      <c r="L442" s="7"/>
      <c r="M442" s="7"/>
      <c r="N442" s="7"/>
      <c r="O442" s="7"/>
      <c r="P442" s="7"/>
      <c r="Q442" s="7"/>
      <c r="R442" s="7"/>
      <c r="S442" s="7"/>
      <c r="T442" s="7"/>
      <c r="U442" s="7"/>
      <c r="V442" s="7"/>
    </row>
    <row r="443" spans="1:22" ht="12.75" customHeight="1">
      <c r="A443" s="7"/>
      <c r="B443" s="7"/>
      <c r="C443" s="8"/>
      <c r="D443" s="66"/>
      <c r="E443" s="7"/>
      <c r="F443" s="7"/>
      <c r="G443" s="7"/>
      <c r="H443" s="7"/>
      <c r="I443" s="7"/>
      <c r="J443" s="7"/>
      <c r="K443" s="7"/>
      <c r="L443" s="7"/>
      <c r="M443" s="7"/>
      <c r="N443" s="7"/>
      <c r="O443" s="7"/>
      <c r="P443" s="7"/>
      <c r="Q443" s="7"/>
      <c r="R443" s="7"/>
      <c r="S443" s="7"/>
      <c r="T443" s="7"/>
      <c r="U443" s="7"/>
      <c r="V443" s="7"/>
    </row>
    <row r="444" spans="1:22" ht="12.75" customHeight="1">
      <c r="A444" s="7"/>
      <c r="B444" s="7"/>
      <c r="C444" s="8"/>
      <c r="D444" s="66"/>
      <c r="E444" s="7"/>
      <c r="F444" s="7"/>
      <c r="G444" s="7"/>
      <c r="H444" s="7"/>
      <c r="I444" s="7"/>
      <c r="J444" s="7"/>
      <c r="K444" s="7"/>
      <c r="L444" s="7"/>
      <c r="M444" s="7"/>
      <c r="N444" s="7"/>
      <c r="O444" s="7"/>
      <c r="P444" s="7"/>
      <c r="Q444" s="7"/>
      <c r="R444" s="7"/>
      <c r="S444" s="7"/>
      <c r="T444" s="7"/>
      <c r="U444" s="7"/>
      <c r="V444" s="7"/>
    </row>
    <row r="445" spans="1:22" ht="12.75" customHeight="1">
      <c r="A445" s="7"/>
      <c r="B445" s="7"/>
      <c r="C445" s="8"/>
      <c r="D445" s="66"/>
      <c r="E445" s="7"/>
      <c r="F445" s="7"/>
      <c r="G445" s="7"/>
      <c r="H445" s="7"/>
      <c r="I445" s="7"/>
      <c r="J445" s="7"/>
      <c r="K445" s="7"/>
      <c r="L445" s="7"/>
      <c r="M445" s="7"/>
      <c r="N445" s="7"/>
      <c r="O445" s="7"/>
      <c r="P445" s="7"/>
      <c r="Q445" s="7"/>
      <c r="R445" s="7"/>
      <c r="S445" s="7"/>
      <c r="T445" s="7"/>
      <c r="U445" s="7"/>
      <c r="V445" s="7"/>
    </row>
    <row r="446" spans="1:22" ht="12.75" customHeight="1">
      <c r="A446" s="7"/>
      <c r="B446" s="7"/>
      <c r="C446" s="8"/>
      <c r="D446" s="66"/>
      <c r="E446" s="7"/>
      <c r="F446" s="7"/>
      <c r="G446" s="7"/>
      <c r="H446" s="7"/>
      <c r="I446" s="7"/>
      <c r="J446" s="7"/>
      <c r="K446" s="7"/>
      <c r="L446" s="7"/>
      <c r="M446" s="7"/>
      <c r="N446" s="7"/>
      <c r="O446" s="7"/>
      <c r="P446" s="7"/>
      <c r="Q446" s="7"/>
      <c r="R446" s="7"/>
      <c r="S446" s="7"/>
      <c r="T446" s="7"/>
      <c r="U446" s="7"/>
      <c r="V446" s="7"/>
    </row>
    <row r="447" spans="1:22" ht="12.75" customHeight="1">
      <c r="A447" s="7"/>
      <c r="B447" s="7"/>
      <c r="C447" s="8"/>
      <c r="D447" s="66"/>
      <c r="E447" s="7"/>
      <c r="F447" s="7"/>
      <c r="G447" s="7"/>
      <c r="H447" s="7"/>
      <c r="I447" s="7"/>
      <c r="J447" s="7"/>
      <c r="K447" s="7"/>
      <c r="L447" s="7"/>
      <c r="M447" s="7"/>
      <c r="N447" s="7"/>
      <c r="O447" s="7"/>
      <c r="P447" s="7"/>
      <c r="Q447" s="7"/>
      <c r="R447" s="7"/>
      <c r="S447" s="7"/>
      <c r="T447" s="7"/>
      <c r="U447" s="7"/>
      <c r="V447" s="7"/>
    </row>
    <row r="448" spans="1:22" ht="12.75" customHeight="1">
      <c r="A448" s="7"/>
      <c r="B448" s="7"/>
      <c r="C448" s="8"/>
      <c r="D448" s="66"/>
      <c r="E448" s="7"/>
      <c r="F448" s="7"/>
      <c r="G448" s="7"/>
      <c r="H448" s="7"/>
      <c r="I448" s="7"/>
      <c r="J448" s="7"/>
      <c r="K448" s="7"/>
      <c r="L448" s="7"/>
      <c r="M448" s="7"/>
      <c r="N448" s="7"/>
      <c r="O448" s="7"/>
      <c r="P448" s="7"/>
      <c r="Q448" s="7"/>
      <c r="R448" s="7"/>
      <c r="S448" s="7"/>
      <c r="T448" s="7"/>
      <c r="U448" s="7"/>
      <c r="V448" s="7"/>
    </row>
    <row r="449" spans="1:22" ht="12.75" customHeight="1">
      <c r="A449" s="7"/>
      <c r="B449" s="7"/>
      <c r="C449" s="8"/>
      <c r="D449" s="66"/>
      <c r="E449" s="7"/>
      <c r="F449" s="7"/>
      <c r="G449" s="7"/>
      <c r="H449" s="7"/>
      <c r="I449" s="7"/>
      <c r="J449" s="7"/>
      <c r="K449" s="7"/>
      <c r="L449" s="7"/>
      <c r="M449" s="7"/>
      <c r="N449" s="7"/>
      <c r="O449" s="7"/>
      <c r="P449" s="7"/>
      <c r="Q449" s="7"/>
      <c r="R449" s="7"/>
      <c r="S449" s="7"/>
      <c r="T449" s="7"/>
      <c r="U449" s="7"/>
      <c r="V449" s="7"/>
    </row>
    <row r="450" spans="1:22" ht="12.75" customHeight="1">
      <c r="A450" s="7"/>
      <c r="B450" s="7"/>
      <c r="C450" s="8"/>
      <c r="D450" s="66"/>
      <c r="E450" s="7"/>
      <c r="F450" s="7"/>
      <c r="G450" s="7"/>
      <c r="H450" s="7"/>
      <c r="I450" s="7"/>
      <c r="J450" s="7"/>
      <c r="K450" s="7"/>
      <c r="L450" s="7"/>
      <c r="M450" s="7"/>
      <c r="N450" s="7"/>
      <c r="O450" s="7"/>
      <c r="P450" s="7"/>
      <c r="Q450" s="7"/>
      <c r="R450" s="7"/>
      <c r="S450" s="7"/>
      <c r="T450" s="7"/>
      <c r="U450" s="7"/>
      <c r="V450" s="7"/>
    </row>
    <row r="451" spans="1:22" ht="12.75" customHeight="1">
      <c r="A451" s="7"/>
      <c r="B451" s="7"/>
      <c r="C451" s="8"/>
      <c r="D451" s="66"/>
      <c r="E451" s="7"/>
      <c r="F451" s="7"/>
      <c r="G451" s="7"/>
      <c r="H451" s="7"/>
      <c r="I451" s="7"/>
      <c r="J451" s="7"/>
      <c r="K451" s="7"/>
      <c r="L451" s="7"/>
      <c r="M451" s="7"/>
      <c r="N451" s="7"/>
      <c r="O451" s="7"/>
      <c r="P451" s="7"/>
      <c r="Q451" s="7"/>
      <c r="R451" s="7"/>
      <c r="S451" s="7"/>
      <c r="T451" s="7"/>
      <c r="U451" s="7"/>
      <c r="V451" s="7"/>
    </row>
    <row r="452" spans="1:22" ht="12.75" customHeight="1">
      <c r="A452" s="7"/>
      <c r="B452" s="7"/>
      <c r="C452" s="8"/>
      <c r="D452" s="66"/>
      <c r="E452" s="7"/>
      <c r="F452" s="7"/>
      <c r="G452" s="7"/>
      <c r="H452" s="7"/>
      <c r="I452" s="7"/>
      <c r="J452" s="7"/>
      <c r="K452" s="7"/>
      <c r="L452" s="7"/>
      <c r="M452" s="7"/>
      <c r="N452" s="7"/>
      <c r="O452" s="7"/>
      <c r="P452" s="7"/>
      <c r="Q452" s="7"/>
      <c r="R452" s="7"/>
      <c r="S452" s="7"/>
      <c r="T452" s="7"/>
      <c r="U452" s="7"/>
      <c r="V452" s="7"/>
    </row>
    <row r="453" spans="1:22" ht="12.75" customHeight="1">
      <c r="A453" s="7"/>
      <c r="B453" s="7"/>
      <c r="C453" s="8"/>
      <c r="D453" s="66"/>
      <c r="E453" s="7"/>
      <c r="F453" s="7"/>
      <c r="G453" s="7"/>
      <c r="H453" s="7"/>
      <c r="I453" s="7"/>
      <c r="J453" s="7"/>
      <c r="K453" s="7"/>
      <c r="L453" s="7"/>
      <c r="M453" s="7"/>
      <c r="N453" s="7"/>
      <c r="O453" s="7"/>
      <c r="P453" s="7"/>
      <c r="Q453" s="7"/>
      <c r="R453" s="7"/>
      <c r="S453" s="7"/>
      <c r="T453" s="7"/>
      <c r="U453" s="7"/>
      <c r="V453" s="7"/>
    </row>
    <row r="454" spans="1:22" ht="12.75" customHeight="1">
      <c r="A454" s="7"/>
      <c r="B454" s="7"/>
      <c r="C454" s="8"/>
      <c r="D454" s="66"/>
      <c r="E454" s="7"/>
      <c r="F454" s="7"/>
      <c r="G454" s="7"/>
      <c r="H454" s="7"/>
      <c r="I454" s="7"/>
      <c r="J454" s="7"/>
      <c r="K454" s="7"/>
      <c r="L454" s="7"/>
      <c r="M454" s="7"/>
      <c r="N454" s="7"/>
      <c r="O454" s="7"/>
      <c r="P454" s="7"/>
      <c r="Q454" s="7"/>
      <c r="R454" s="7"/>
      <c r="S454" s="7"/>
      <c r="T454" s="7"/>
      <c r="U454" s="7"/>
      <c r="V454" s="7"/>
    </row>
    <row r="455" spans="1:22" ht="12.75" customHeight="1">
      <c r="A455" s="7"/>
      <c r="B455" s="7"/>
      <c r="C455" s="8"/>
      <c r="D455" s="66"/>
      <c r="E455" s="7"/>
      <c r="F455" s="7"/>
      <c r="G455" s="7"/>
      <c r="H455" s="7"/>
      <c r="I455" s="7"/>
      <c r="J455" s="7"/>
      <c r="K455" s="7"/>
      <c r="L455" s="7"/>
      <c r="M455" s="7"/>
      <c r="N455" s="7"/>
      <c r="O455" s="7"/>
      <c r="P455" s="7"/>
      <c r="Q455" s="7"/>
      <c r="R455" s="7"/>
      <c r="S455" s="7"/>
      <c r="T455" s="7"/>
      <c r="U455" s="7"/>
      <c r="V455" s="7"/>
    </row>
    <row r="456" spans="1:22" ht="12.75" customHeight="1">
      <c r="A456" s="7"/>
      <c r="B456" s="7"/>
      <c r="C456" s="8"/>
      <c r="D456" s="66"/>
      <c r="E456" s="7"/>
      <c r="F456" s="7"/>
      <c r="G456" s="7"/>
      <c r="H456" s="7"/>
      <c r="I456" s="7"/>
      <c r="J456" s="7"/>
      <c r="K456" s="7"/>
      <c r="L456" s="7"/>
      <c r="M456" s="7"/>
      <c r="N456" s="7"/>
      <c r="O456" s="7"/>
      <c r="P456" s="7"/>
      <c r="Q456" s="7"/>
      <c r="R456" s="7"/>
      <c r="S456" s="7"/>
      <c r="T456" s="7"/>
      <c r="U456" s="7"/>
      <c r="V456" s="7"/>
    </row>
    <row r="457" spans="1:22" ht="12.75" customHeight="1">
      <c r="A457" s="7"/>
      <c r="B457" s="7"/>
      <c r="C457" s="8"/>
      <c r="D457" s="66"/>
      <c r="E457" s="7"/>
      <c r="F457" s="7"/>
      <c r="G457" s="7"/>
      <c r="H457" s="7"/>
      <c r="I457" s="7"/>
      <c r="J457" s="7"/>
      <c r="K457" s="7"/>
      <c r="L457" s="7"/>
      <c r="M457" s="7"/>
      <c r="N457" s="7"/>
      <c r="O457" s="7"/>
      <c r="P457" s="7"/>
      <c r="Q457" s="7"/>
      <c r="R457" s="7"/>
      <c r="S457" s="7"/>
      <c r="T457" s="7"/>
      <c r="U457" s="7"/>
      <c r="V457" s="7"/>
    </row>
    <row r="458" spans="1:22" ht="12.75" customHeight="1">
      <c r="A458" s="7"/>
      <c r="B458" s="7"/>
      <c r="C458" s="8"/>
      <c r="D458" s="66"/>
      <c r="E458" s="7"/>
      <c r="F458" s="7"/>
      <c r="G458" s="7"/>
      <c r="H458" s="7"/>
      <c r="I458" s="7"/>
      <c r="J458" s="7"/>
      <c r="K458" s="7"/>
      <c r="L458" s="7"/>
      <c r="M458" s="7"/>
      <c r="N458" s="7"/>
      <c r="O458" s="7"/>
      <c r="P458" s="7"/>
      <c r="Q458" s="7"/>
      <c r="R458" s="7"/>
      <c r="S458" s="7"/>
      <c r="T458" s="7"/>
      <c r="U458" s="7"/>
      <c r="V458" s="7"/>
    </row>
    <row r="459" spans="1:22" ht="12.75" customHeight="1">
      <c r="A459" s="7"/>
      <c r="B459" s="7"/>
      <c r="C459" s="8"/>
      <c r="D459" s="66"/>
      <c r="E459" s="7"/>
      <c r="F459" s="7"/>
      <c r="G459" s="7"/>
      <c r="H459" s="7"/>
      <c r="I459" s="7"/>
      <c r="J459" s="7"/>
      <c r="K459" s="7"/>
      <c r="L459" s="7"/>
      <c r="M459" s="7"/>
      <c r="N459" s="7"/>
      <c r="O459" s="7"/>
      <c r="P459" s="7"/>
      <c r="Q459" s="7"/>
      <c r="R459" s="7"/>
      <c r="S459" s="7"/>
      <c r="T459" s="7"/>
      <c r="U459" s="7"/>
      <c r="V459" s="7"/>
    </row>
    <row r="460" spans="1:22" ht="12.75" customHeight="1">
      <c r="A460" s="7"/>
      <c r="B460" s="7"/>
      <c r="C460" s="8"/>
      <c r="D460" s="66"/>
      <c r="E460" s="7"/>
      <c r="F460" s="7"/>
      <c r="G460" s="7"/>
      <c r="H460" s="7"/>
      <c r="I460" s="7"/>
      <c r="J460" s="7"/>
      <c r="K460" s="7"/>
      <c r="L460" s="7"/>
      <c r="M460" s="7"/>
      <c r="N460" s="7"/>
      <c r="O460" s="7"/>
      <c r="P460" s="7"/>
      <c r="Q460" s="7"/>
      <c r="R460" s="7"/>
      <c r="S460" s="7"/>
      <c r="T460" s="7"/>
      <c r="U460" s="7"/>
      <c r="V460" s="7"/>
    </row>
    <row r="461" spans="1:22" ht="12.75" customHeight="1">
      <c r="A461" s="7"/>
      <c r="B461" s="7"/>
      <c r="C461" s="8"/>
      <c r="D461" s="66"/>
      <c r="E461" s="7"/>
      <c r="F461" s="7"/>
      <c r="G461" s="7"/>
      <c r="H461" s="7"/>
      <c r="I461" s="7"/>
      <c r="J461" s="7"/>
      <c r="K461" s="7"/>
      <c r="L461" s="7"/>
      <c r="M461" s="7"/>
      <c r="N461" s="7"/>
      <c r="O461" s="7"/>
      <c r="P461" s="7"/>
      <c r="Q461" s="7"/>
      <c r="R461" s="7"/>
      <c r="S461" s="7"/>
      <c r="T461" s="7"/>
      <c r="U461" s="7"/>
      <c r="V461" s="7"/>
    </row>
    <row r="462" spans="1:22" ht="12.75" customHeight="1">
      <c r="A462" s="7"/>
      <c r="B462" s="7"/>
      <c r="C462" s="8"/>
      <c r="D462" s="66"/>
      <c r="E462" s="7"/>
      <c r="F462" s="7"/>
      <c r="G462" s="7"/>
      <c r="H462" s="7"/>
      <c r="I462" s="7"/>
      <c r="J462" s="7"/>
      <c r="K462" s="7"/>
      <c r="L462" s="7"/>
      <c r="M462" s="7"/>
      <c r="N462" s="7"/>
      <c r="O462" s="7"/>
      <c r="P462" s="7"/>
      <c r="Q462" s="7"/>
      <c r="R462" s="7"/>
      <c r="S462" s="7"/>
      <c r="T462" s="7"/>
      <c r="U462" s="7"/>
      <c r="V462" s="7"/>
    </row>
    <row r="463" spans="1:22" ht="12.75" customHeight="1">
      <c r="A463" s="7"/>
      <c r="B463" s="7"/>
      <c r="C463" s="8"/>
      <c r="D463" s="66"/>
      <c r="E463" s="7"/>
      <c r="F463" s="7"/>
      <c r="G463" s="7"/>
      <c r="H463" s="7"/>
      <c r="I463" s="7"/>
      <c r="J463" s="7"/>
      <c r="K463" s="7"/>
      <c r="L463" s="7"/>
      <c r="M463" s="7"/>
      <c r="N463" s="7"/>
      <c r="O463" s="7"/>
      <c r="P463" s="7"/>
      <c r="Q463" s="7"/>
      <c r="R463" s="7"/>
      <c r="S463" s="7"/>
      <c r="T463" s="7"/>
      <c r="U463" s="7"/>
      <c r="V463" s="7"/>
    </row>
    <row r="464" spans="1:22" ht="12.75" customHeight="1">
      <c r="A464" s="7"/>
      <c r="B464" s="7"/>
      <c r="C464" s="8"/>
      <c r="D464" s="66"/>
      <c r="E464" s="7"/>
      <c r="F464" s="7"/>
      <c r="G464" s="7"/>
      <c r="H464" s="7"/>
      <c r="I464" s="7"/>
      <c r="J464" s="7"/>
      <c r="K464" s="7"/>
      <c r="L464" s="7"/>
      <c r="M464" s="7"/>
      <c r="N464" s="7"/>
      <c r="O464" s="7"/>
      <c r="P464" s="7"/>
      <c r="Q464" s="7"/>
      <c r="R464" s="7"/>
      <c r="S464" s="7"/>
      <c r="T464" s="7"/>
      <c r="U464" s="7"/>
      <c r="V464" s="7"/>
    </row>
    <row r="465" spans="1:22" ht="12.75" customHeight="1">
      <c r="A465" s="7"/>
      <c r="B465" s="7"/>
      <c r="C465" s="8"/>
      <c r="D465" s="66"/>
      <c r="E465" s="7"/>
      <c r="F465" s="7"/>
      <c r="G465" s="7"/>
      <c r="H465" s="7"/>
      <c r="I465" s="7"/>
      <c r="J465" s="7"/>
      <c r="K465" s="7"/>
      <c r="L465" s="7"/>
      <c r="M465" s="7"/>
      <c r="N465" s="7"/>
      <c r="O465" s="7"/>
      <c r="P465" s="7"/>
      <c r="Q465" s="7"/>
      <c r="R465" s="7"/>
      <c r="S465" s="7"/>
      <c r="T465" s="7"/>
      <c r="U465" s="7"/>
      <c r="V465" s="7"/>
    </row>
    <row r="466" spans="1:22" ht="12.75" customHeight="1">
      <c r="A466" s="7"/>
      <c r="B466" s="7"/>
      <c r="C466" s="8"/>
      <c r="D466" s="66"/>
      <c r="E466" s="7"/>
      <c r="F466" s="7"/>
      <c r="G466" s="7"/>
      <c r="H466" s="7"/>
      <c r="I466" s="7"/>
      <c r="J466" s="7"/>
      <c r="K466" s="7"/>
      <c r="L466" s="7"/>
      <c r="M466" s="7"/>
      <c r="N466" s="7"/>
      <c r="O466" s="7"/>
      <c r="P466" s="7"/>
      <c r="Q466" s="7"/>
      <c r="R466" s="7"/>
      <c r="S466" s="7"/>
      <c r="T466" s="7"/>
      <c r="U466" s="7"/>
      <c r="V466" s="7"/>
    </row>
    <row r="467" spans="1:22" ht="12.75" customHeight="1">
      <c r="A467" s="7"/>
      <c r="B467" s="7"/>
      <c r="C467" s="8"/>
      <c r="D467" s="66"/>
      <c r="E467" s="7"/>
      <c r="F467" s="7"/>
      <c r="G467" s="7"/>
      <c r="H467" s="7"/>
      <c r="I467" s="7"/>
      <c r="J467" s="7"/>
      <c r="K467" s="7"/>
      <c r="L467" s="7"/>
      <c r="M467" s="7"/>
      <c r="N467" s="7"/>
      <c r="O467" s="7"/>
      <c r="P467" s="7"/>
      <c r="Q467" s="7"/>
      <c r="R467" s="7"/>
      <c r="S467" s="7"/>
      <c r="T467" s="7"/>
      <c r="U467" s="7"/>
      <c r="V467" s="7"/>
    </row>
    <row r="468" spans="1:22" ht="12.75" customHeight="1">
      <c r="A468" s="7"/>
      <c r="B468" s="7"/>
      <c r="C468" s="8"/>
      <c r="D468" s="66"/>
      <c r="E468" s="7"/>
      <c r="F468" s="7"/>
      <c r="G468" s="7"/>
      <c r="H468" s="7"/>
      <c r="I468" s="7"/>
      <c r="J468" s="7"/>
      <c r="K468" s="7"/>
      <c r="L468" s="7"/>
      <c r="M468" s="7"/>
      <c r="N468" s="7"/>
      <c r="O468" s="7"/>
      <c r="P468" s="7"/>
      <c r="Q468" s="7"/>
      <c r="R468" s="7"/>
      <c r="S468" s="7"/>
      <c r="T468" s="7"/>
      <c r="U468" s="7"/>
      <c r="V468" s="7"/>
    </row>
    <row r="469" spans="1:22" ht="12.75" customHeight="1">
      <c r="A469" s="7"/>
      <c r="B469" s="7"/>
      <c r="C469" s="8"/>
      <c r="D469" s="66"/>
      <c r="E469" s="7"/>
      <c r="F469" s="7"/>
      <c r="G469" s="7"/>
      <c r="H469" s="7"/>
      <c r="I469" s="7"/>
      <c r="J469" s="7"/>
      <c r="K469" s="7"/>
      <c r="L469" s="7"/>
      <c r="M469" s="7"/>
      <c r="N469" s="7"/>
      <c r="O469" s="7"/>
      <c r="P469" s="7"/>
      <c r="Q469" s="7"/>
      <c r="R469" s="7"/>
      <c r="S469" s="7"/>
      <c r="T469" s="7"/>
      <c r="U469" s="7"/>
      <c r="V469" s="7"/>
    </row>
    <row r="470" spans="1:22" ht="12.75" customHeight="1">
      <c r="A470" s="7"/>
      <c r="B470" s="7"/>
      <c r="C470" s="8"/>
      <c r="D470" s="66"/>
      <c r="E470" s="7"/>
      <c r="F470" s="7"/>
      <c r="G470" s="7"/>
      <c r="H470" s="7"/>
      <c r="I470" s="7"/>
      <c r="J470" s="7"/>
      <c r="K470" s="7"/>
      <c r="L470" s="7"/>
      <c r="M470" s="7"/>
      <c r="N470" s="7"/>
      <c r="O470" s="7"/>
      <c r="P470" s="7"/>
      <c r="Q470" s="7"/>
      <c r="R470" s="7"/>
      <c r="S470" s="7"/>
      <c r="T470" s="7"/>
      <c r="U470" s="7"/>
      <c r="V470" s="7"/>
    </row>
    <row r="471" spans="1:22" ht="12.75" customHeight="1">
      <c r="A471" s="7"/>
      <c r="B471" s="7"/>
      <c r="C471" s="8"/>
      <c r="D471" s="66"/>
      <c r="E471" s="7"/>
      <c r="F471" s="7"/>
      <c r="G471" s="7"/>
      <c r="H471" s="7"/>
      <c r="I471" s="7"/>
      <c r="J471" s="7"/>
      <c r="K471" s="7"/>
      <c r="L471" s="7"/>
      <c r="M471" s="7"/>
      <c r="N471" s="7"/>
      <c r="O471" s="7"/>
      <c r="P471" s="7"/>
      <c r="Q471" s="7"/>
      <c r="R471" s="7"/>
      <c r="S471" s="7"/>
      <c r="T471" s="7"/>
      <c r="U471" s="7"/>
      <c r="V471" s="7"/>
    </row>
    <row r="472" spans="1:22" ht="12.75" customHeight="1">
      <c r="A472" s="7"/>
      <c r="B472" s="7"/>
      <c r="C472" s="8"/>
      <c r="D472" s="66"/>
      <c r="E472" s="7"/>
      <c r="F472" s="7"/>
      <c r="G472" s="7"/>
      <c r="H472" s="7"/>
      <c r="I472" s="7"/>
      <c r="J472" s="7"/>
      <c r="K472" s="7"/>
      <c r="L472" s="7"/>
      <c r="M472" s="7"/>
      <c r="N472" s="7"/>
      <c r="O472" s="7"/>
      <c r="P472" s="7"/>
      <c r="Q472" s="7"/>
      <c r="R472" s="7"/>
      <c r="S472" s="7"/>
      <c r="T472" s="7"/>
      <c r="U472" s="7"/>
      <c r="V472" s="7"/>
    </row>
    <row r="473" spans="1:22" ht="12.75" customHeight="1">
      <c r="A473" s="7"/>
      <c r="B473" s="7"/>
      <c r="C473" s="8"/>
      <c r="D473" s="66"/>
      <c r="E473" s="7"/>
      <c r="F473" s="7"/>
      <c r="G473" s="7"/>
      <c r="H473" s="7"/>
      <c r="I473" s="7"/>
      <c r="J473" s="7"/>
      <c r="K473" s="7"/>
      <c r="L473" s="7"/>
      <c r="M473" s="7"/>
      <c r="N473" s="7"/>
      <c r="O473" s="7"/>
      <c r="P473" s="7"/>
      <c r="Q473" s="7"/>
      <c r="R473" s="7"/>
      <c r="S473" s="7"/>
      <c r="T473" s="7"/>
      <c r="U473" s="7"/>
      <c r="V473" s="7"/>
    </row>
    <row r="474" spans="1:22" ht="12.75" customHeight="1">
      <c r="A474" s="7"/>
      <c r="B474" s="7"/>
      <c r="C474" s="8"/>
      <c r="D474" s="66"/>
      <c r="E474" s="7"/>
      <c r="F474" s="7"/>
      <c r="G474" s="7"/>
      <c r="H474" s="7"/>
      <c r="I474" s="7"/>
      <c r="J474" s="7"/>
      <c r="K474" s="7"/>
      <c r="L474" s="7"/>
      <c r="M474" s="7"/>
      <c r="N474" s="7"/>
      <c r="O474" s="7"/>
      <c r="P474" s="7"/>
      <c r="Q474" s="7"/>
      <c r="R474" s="7"/>
      <c r="S474" s="7"/>
      <c r="T474" s="7"/>
      <c r="U474" s="7"/>
      <c r="V474" s="7"/>
    </row>
    <row r="475" spans="1:22" ht="12.75" customHeight="1">
      <c r="A475" s="7"/>
      <c r="B475" s="7"/>
      <c r="C475" s="8"/>
      <c r="D475" s="66"/>
      <c r="E475" s="7"/>
      <c r="F475" s="7"/>
      <c r="G475" s="7"/>
      <c r="H475" s="7"/>
      <c r="I475" s="7"/>
      <c r="J475" s="7"/>
      <c r="K475" s="7"/>
      <c r="L475" s="7"/>
      <c r="M475" s="7"/>
      <c r="N475" s="7"/>
      <c r="O475" s="7"/>
      <c r="P475" s="7"/>
      <c r="Q475" s="7"/>
      <c r="R475" s="7"/>
      <c r="S475" s="7"/>
      <c r="T475" s="7"/>
      <c r="U475" s="7"/>
      <c r="V475" s="7"/>
    </row>
    <row r="476" spans="1:22" ht="12.75" customHeight="1">
      <c r="A476" s="7"/>
      <c r="B476" s="7"/>
      <c r="C476" s="8"/>
      <c r="D476" s="66"/>
      <c r="E476" s="7"/>
      <c r="F476" s="7"/>
      <c r="G476" s="7"/>
      <c r="H476" s="7"/>
      <c r="I476" s="7"/>
      <c r="J476" s="7"/>
      <c r="K476" s="7"/>
      <c r="L476" s="7"/>
      <c r="M476" s="7"/>
      <c r="N476" s="7"/>
      <c r="O476" s="7"/>
      <c r="P476" s="7"/>
      <c r="Q476" s="7"/>
      <c r="R476" s="7"/>
      <c r="S476" s="7"/>
      <c r="T476" s="7"/>
      <c r="U476" s="7"/>
      <c r="V476" s="7"/>
    </row>
    <row r="477" spans="1:22" ht="12.75" customHeight="1">
      <c r="A477" s="7"/>
      <c r="B477" s="7"/>
      <c r="C477" s="8"/>
      <c r="D477" s="66"/>
      <c r="E477" s="7"/>
      <c r="F477" s="7"/>
      <c r="G477" s="7"/>
      <c r="H477" s="7"/>
      <c r="I477" s="7"/>
      <c r="J477" s="7"/>
      <c r="K477" s="7"/>
      <c r="L477" s="7"/>
      <c r="M477" s="7"/>
      <c r="N477" s="7"/>
      <c r="O477" s="7"/>
      <c r="P477" s="7"/>
      <c r="Q477" s="7"/>
      <c r="R477" s="7"/>
      <c r="S477" s="7"/>
      <c r="T477" s="7"/>
      <c r="U477" s="7"/>
      <c r="V477" s="7"/>
    </row>
    <row r="478" spans="1:22" ht="12.75" customHeight="1">
      <c r="A478" s="7"/>
      <c r="B478" s="7"/>
      <c r="C478" s="8"/>
      <c r="D478" s="66"/>
      <c r="E478" s="7"/>
      <c r="F478" s="7"/>
      <c r="G478" s="7"/>
      <c r="H478" s="7"/>
      <c r="I478" s="7"/>
      <c r="J478" s="7"/>
      <c r="K478" s="7"/>
      <c r="L478" s="7"/>
      <c r="M478" s="7"/>
      <c r="N478" s="7"/>
      <c r="O478" s="7"/>
      <c r="P478" s="7"/>
      <c r="Q478" s="7"/>
      <c r="R478" s="7"/>
      <c r="S478" s="7"/>
      <c r="T478" s="7"/>
      <c r="U478" s="7"/>
      <c r="V478" s="7"/>
    </row>
    <row r="479" spans="1:22" ht="12.75" customHeight="1">
      <c r="A479" s="7"/>
      <c r="B479" s="7"/>
      <c r="C479" s="8"/>
      <c r="D479" s="66"/>
      <c r="E479" s="7"/>
      <c r="F479" s="7"/>
      <c r="G479" s="7"/>
      <c r="H479" s="7"/>
      <c r="I479" s="7"/>
      <c r="J479" s="7"/>
      <c r="K479" s="7"/>
      <c r="L479" s="7"/>
      <c r="M479" s="7"/>
      <c r="N479" s="7"/>
      <c r="O479" s="7"/>
      <c r="P479" s="7"/>
      <c r="Q479" s="7"/>
      <c r="R479" s="7"/>
      <c r="S479" s="7"/>
      <c r="T479" s="7"/>
      <c r="U479" s="7"/>
      <c r="V479" s="7"/>
    </row>
    <row r="480" spans="1:22" ht="12.75" customHeight="1">
      <c r="A480" s="7"/>
      <c r="B480" s="7"/>
      <c r="C480" s="8"/>
      <c r="D480" s="66"/>
      <c r="E480" s="7"/>
      <c r="F480" s="7"/>
      <c r="G480" s="7"/>
      <c r="H480" s="7"/>
      <c r="I480" s="7"/>
      <c r="J480" s="7"/>
      <c r="K480" s="7"/>
      <c r="L480" s="7"/>
      <c r="M480" s="7"/>
      <c r="N480" s="7"/>
      <c r="O480" s="7"/>
      <c r="P480" s="7"/>
      <c r="Q480" s="7"/>
      <c r="R480" s="7"/>
      <c r="S480" s="7"/>
      <c r="T480" s="7"/>
      <c r="U480" s="7"/>
      <c r="V480" s="7"/>
    </row>
    <row r="481" spans="1:22" ht="12.75" customHeight="1">
      <c r="A481" s="7"/>
      <c r="B481" s="7"/>
      <c r="C481" s="8"/>
      <c r="D481" s="66"/>
      <c r="E481" s="7"/>
      <c r="F481" s="7"/>
      <c r="G481" s="7"/>
      <c r="H481" s="7"/>
      <c r="I481" s="7"/>
      <c r="J481" s="7"/>
      <c r="K481" s="7"/>
      <c r="L481" s="7"/>
      <c r="M481" s="7"/>
      <c r="N481" s="7"/>
      <c r="O481" s="7"/>
      <c r="P481" s="7"/>
      <c r="Q481" s="7"/>
      <c r="R481" s="7"/>
      <c r="S481" s="7"/>
      <c r="T481" s="7"/>
      <c r="U481" s="7"/>
      <c r="V481" s="7"/>
    </row>
    <row r="482" spans="1:22" ht="12.75" customHeight="1">
      <c r="A482" s="7"/>
      <c r="B482" s="7"/>
      <c r="C482" s="8"/>
      <c r="D482" s="66"/>
      <c r="E482" s="7"/>
      <c r="F482" s="7"/>
      <c r="G482" s="7"/>
      <c r="H482" s="7"/>
      <c r="I482" s="7"/>
      <c r="J482" s="7"/>
      <c r="K482" s="7"/>
      <c r="L482" s="7"/>
      <c r="M482" s="7"/>
      <c r="N482" s="7"/>
      <c r="O482" s="7"/>
      <c r="P482" s="7"/>
      <c r="Q482" s="7"/>
      <c r="R482" s="7"/>
      <c r="S482" s="7"/>
      <c r="T482" s="7"/>
      <c r="U482" s="7"/>
      <c r="V482" s="7"/>
    </row>
    <row r="483" spans="1:22" ht="12.75" customHeight="1">
      <c r="A483" s="7"/>
      <c r="B483" s="7"/>
      <c r="C483" s="8"/>
      <c r="D483" s="66"/>
      <c r="E483" s="7"/>
      <c r="F483" s="7"/>
      <c r="G483" s="7"/>
      <c r="H483" s="7"/>
      <c r="I483" s="7"/>
      <c r="J483" s="7"/>
      <c r="K483" s="7"/>
      <c r="L483" s="7"/>
      <c r="M483" s="7"/>
      <c r="N483" s="7"/>
      <c r="O483" s="7"/>
      <c r="P483" s="7"/>
      <c r="Q483" s="7"/>
      <c r="R483" s="7"/>
      <c r="S483" s="7"/>
      <c r="T483" s="7"/>
      <c r="U483" s="7"/>
      <c r="V483" s="7"/>
    </row>
    <row r="484" spans="1:22" ht="12.75" customHeight="1">
      <c r="A484" s="7"/>
      <c r="B484" s="7"/>
      <c r="C484" s="8"/>
      <c r="D484" s="66"/>
      <c r="E484" s="7"/>
      <c r="F484" s="7"/>
      <c r="G484" s="7"/>
      <c r="H484" s="7"/>
      <c r="I484" s="7"/>
      <c r="J484" s="7"/>
      <c r="K484" s="7"/>
      <c r="L484" s="7"/>
      <c r="M484" s="7"/>
      <c r="N484" s="7"/>
      <c r="O484" s="7"/>
      <c r="P484" s="7"/>
      <c r="Q484" s="7"/>
      <c r="R484" s="7"/>
      <c r="S484" s="7"/>
      <c r="T484" s="7"/>
      <c r="U484" s="7"/>
      <c r="V484" s="7"/>
    </row>
    <row r="485" spans="1:22" ht="12.75" customHeight="1">
      <c r="A485" s="7"/>
      <c r="B485" s="7"/>
      <c r="C485" s="8"/>
      <c r="D485" s="66"/>
      <c r="E485" s="7"/>
      <c r="F485" s="7"/>
      <c r="G485" s="7"/>
      <c r="H485" s="7"/>
      <c r="I485" s="7"/>
      <c r="J485" s="7"/>
      <c r="K485" s="7"/>
      <c r="L485" s="7"/>
      <c r="M485" s="7"/>
      <c r="N485" s="7"/>
      <c r="O485" s="7"/>
      <c r="P485" s="7"/>
      <c r="Q485" s="7"/>
      <c r="R485" s="7"/>
      <c r="S485" s="7"/>
      <c r="T485" s="7"/>
      <c r="U485" s="7"/>
      <c r="V485" s="7"/>
    </row>
    <row r="486" spans="1:22" ht="12.75" customHeight="1">
      <c r="A486" s="7"/>
      <c r="B486" s="7"/>
      <c r="C486" s="8"/>
      <c r="D486" s="66"/>
      <c r="E486" s="7"/>
      <c r="F486" s="7"/>
      <c r="G486" s="7"/>
      <c r="H486" s="7"/>
      <c r="I486" s="7"/>
      <c r="J486" s="7"/>
      <c r="K486" s="7"/>
      <c r="L486" s="7"/>
      <c r="M486" s="7"/>
      <c r="N486" s="7"/>
      <c r="O486" s="7"/>
      <c r="P486" s="7"/>
      <c r="Q486" s="7"/>
      <c r="R486" s="7"/>
      <c r="S486" s="7"/>
      <c r="T486" s="7"/>
      <c r="U486" s="7"/>
      <c r="V486" s="7"/>
    </row>
    <row r="487" spans="1:22" ht="12.75" customHeight="1">
      <c r="A487" s="7"/>
      <c r="B487" s="7"/>
      <c r="C487" s="8"/>
      <c r="D487" s="66"/>
      <c r="E487" s="7"/>
      <c r="F487" s="7"/>
      <c r="G487" s="7"/>
      <c r="H487" s="7"/>
      <c r="I487" s="7"/>
      <c r="J487" s="7"/>
      <c r="K487" s="7"/>
      <c r="L487" s="7"/>
      <c r="M487" s="7"/>
      <c r="N487" s="7"/>
      <c r="O487" s="7"/>
      <c r="P487" s="7"/>
      <c r="Q487" s="7"/>
      <c r="R487" s="7"/>
      <c r="S487" s="7"/>
      <c r="T487" s="7"/>
      <c r="U487" s="7"/>
      <c r="V487" s="7"/>
    </row>
    <row r="488" spans="1:22" ht="12.75" customHeight="1">
      <c r="A488" s="7"/>
      <c r="B488" s="7"/>
      <c r="C488" s="8"/>
      <c r="D488" s="66"/>
      <c r="E488" s="7"/>
      <c r="F488" s="7"/>
      <c r="G488" s="7"/>
      <c r="H488" s="7"/>
      <c r="I488" s="7"/>
      <c r="J488" s="7"/>
      <c r="K488" s="7"/>
      <c r="L488" s="7"/>
      <c r="M488" s="7"/>
      <c r="N488" s="7"/>
      <c r="O488" s="7"/>
      <c r="P488" s="7"/>
      <c r="Q488" s="7"/>
      <c r="R488" s="7"/>
      <c r="S488" s="7"/>
      <c r="T488" s="7"/>
      <c r="U488" s="7"/>
      <c r="V488" s="7"/>
    </row>
    <row r="489" spans="1:22" ht="12.75" customHeight="1">
      <c r="A489" s="7"/>
      <c r="B489" s="7"/>
      <c r="C489" s="8"/>
      <c r="D489" s="66"/>
      <c r="E489" s="7"/>
      <c r="F489" s="7"/>
      <c r="G489" s="7"/>
      <c r="H489" s="7"/>
      <c r="I489" s="7"/>
      <c r="J489" s="7"/>
      <c r="K489" s="7"/>
      <c r="L489" s="7"/>
      <c r="M489" s="7"/>
      <c r="N489" s="7"/>
      <c r="O489" s="7"/>
      <c r="P489" s="7"/>
      <c r="Q489" s="7"/>
      <c r="R489" s="7"/>
      <c r="S489" s="7"/>
      <c r="T489" s="7"/>
      <c r="U489" s="7"/>
      <c r="V489" s="7"/>
    </row>
    <row r="490" spans="1:22" ht="12.75" customHeight="1">
      <c r="A490" s="7"/>
      <c r="B490" s="7"/>
      <c r="C490" s="8"/>
      <c r="D490" s="66"/>
      <c r="E490" s="7"/>
      <c r="F490" s="7"/>
      <c r="G490" s="7"/>
      <c r="H490" s="7"/>
      <c r="I490" s="7"/>
      <c r="J490" s="7"/>
      <c r="K490" s="7"/>
      <c r="L490" s="7"/>
      <c r="M490" s="7"/>
      <c r="N490" s="7"/>
      <c r="O490" s="7"/>
      <c r="P490" s="7"/>
      <c r="Q490" s="7"/>
      <c r="R490" s="7"/>
      <c r="S490" s="7"/>
      <c r="T490" s="7"/>
      <c r="U490" s="7"/>
      <c r="V490" s="7"/>
    </row>
    <row r="491" spans="1:22" ht="12.75" customHeight="1">
      <c r="A491" s="7"/>
      <c r="B491" s="7"/>
      <c r="C491" s="8"/>
      <c r="D491" s="66"/>
      <c r="E491" s="7"/>
      <c r="F491" s="7"/>
      <c r="G491" s="7"/>
      <c r="H491" s="7"/>
      <c r="I491" s="7"/>
      <c r="J491" s="7"/>
      <c r="K491" s="7"/>
      <c r="L491" s="7"/>
      <c r="M491" s="7"/>
      <c r="N491" s="7"/>
      <c r="O491" s="7"/>
      <c r="P491" s="7"/>
      <c r="Q491" s="7"/>
      <c r="R491" s="7"/>
      <c r="S491" s="7"/>
      <c r="T491" s="7"/>
      <c r="U491" s="7"/>
      <c r="V491" s="7"/>
    </row>
    <row r="492" spans="1:22" ht="12.75" customHeight="1">
      <c r="A492" s="7"/>
      <c r="B492" s="7"/>
      <c r="C492" s="8"/>
      <c r="D492" s="66"/>
      <c r="E492" s="7"/>
      <c r="F492" s="7"/>
      <c r="G492" s="7"/>
      <c r="H492" s="7"/>
      <c r="I492" s="7"/>
      <c r="J492" s="7"/>
      <c r="K492" s="7"/>
      <c r="L492" s="7"/>
      <c r="M492" s="7"/>
      <c r="N492" s="7"/>
      <c r="O492" s="7"/>
      <c r="P492" s="7"/>
      <c r="Q492" s="7"/>
      <c r="R492" s="7"/>
      <c r="S492" s="7"/>
      <c r="T492" s="7"/>
      <c r="U492" s="7"/>
      <c r="V492" s="7"/>
    </row>
    <row r="493" spans="1:22" ht="12.75" customHeight="1">
      <c r="A493" s="7"/>
      <c r="B493" s="7"/>
      <c r="C493" s="8"/>
      <c r="D493" s="66"/>
      <c r="E493" s="7"/>
      <c r="F493" s="7"/>
      <c r="G493" s="7"/>
      <c r="H493" s="7"/>
      <c r="I493" s="7"/>
      <c r="J493" s="7"/>
      <c r="K493" s="7"/>
      <c r="L493" s="7"/>
      <c r="M493" s="7"/>
      <c r="N493" s="7"/>
      <c r="O493" s="7"/>
      <c r="P493" s="7"/>
      <c r="Q493" s="7"/>
      <c r="R493" s="7"/>
      <c r="S493" s="7"/>
      <c r="T493" s="7"/>
      <c r="U493" s="7"/>
      <c r="V493" s="7"/>
    </row>
    <row r="494" spans="1:22" ht="12.75" customHeight="1">
      <c r="A494" s="7"/>
      <c r="B494" s="7"/>
      <c r="C494" s="8"/>
      <c r="D494" s="66"/>
      <c r="E494" s="7"/>
      <c r="F494" s="7"/>
      <c r="G494" s="7"/>
      <c r="H494" s="7"/>
      <c r="I494" s="7"/>
      <c r="J494" s="7"/>
      <c r="K494" s="7"/>
      <c r="L494" s="7"/>
      <c r="M494" s="7"/>
      <c r="N494" s="7"/>
      <c r="O494" s="7"/>
      <c r="P494" s="7"/>
      <c r="Q494" s="7"/>
      <c r="R494" s="7"/>
      <c r="S494" s="7"/>
      <c r="T494" s="7"/>
      <c r="U494" s="7"/>
      <c r="V494" s="7"/>
    </row>
    <row r="495" spans="1:22" ht="12.75" customHeight="1">
      <c r="A495" s="7"/>
      <c r="B495" s="7"/>
      <c r="C495" s="8"/>
      <c r="D495" s="66"/>
      <c r="E495" s="7"/>
      <c r="F495" s="7"/>
      <c r="G495" s="7"/>
      <c r="H495" s="7"/>
      <c r="I495" s="7"/>
      <c r="J495" s="7"/>
      <c r="K495" s="7"/>
      <c r="L495" s="7"/>
      <c r="M495" s="7"/>
      <c r="N495" s="7"/>
      <c r="O495" s="7"/>
      <c r="P495" s="7"/>
      <c r="Q495" s="7"/>
      <c r="R495" s="7"/>
      <c r="S495" s="7"/>
      <c r="T495" s="7"/>
      <c r="U495" s="7"/>
      <c r="V495" s="7"/>
    </row>
    <row r="496" spans="1:22" ht="12.75" customHeight="1">
      <c r="A496" s="7"/>
      <c r="B496" s="7"/>
      <c r="C496" s="8"/>
      <c r="D496" s="66"/>
      <c r="E496" s="7"/>
      <c r="F496" s="7"/>
      <c r="G496" s="7"/>
      <c r="H496" s="7"/>
      <c r="I496" s="7"/>
      <c r="J496" s="7"/>
      <c r="K496" s="7"/>
      <c r="L496" s="7"/>
      <c r="M496" s="7"/>
      <c r="N496" s="7"/>
      <c r="O496" s="7"/>
      <c r="P496" s="7"/>
      <c r="Q496" s="7"/>
      <c r="R496" s="7"/>
      <c r="S496" s="7"/>
      <c r="T496" s="7"/>
      <c r="U496" s="7"/>
      <c r="V496" s="7"/>
    </row>
    <row r="497" spans="1:22" ht="12.75" customHeight="1">
      <c r="A497" s="7"/>
      <c r="B497" s="7"/>
      <c r="C497" s="8"/>
      <c r="D497" s="66"/>
      <c r="E497" s="7"/>
      <c r="F497" s="7"/>
      <c r="G497" s="7"/>
      <c r="H497" s="7"/>
      <c r="I497" s="7"/>
      <c r="J497" s="7"/>
      <c r="K497" s="7"/>
      <c r="L497" s="7"/>
      <c r="M497" s="7"/>
      <c r="N497" s="7"/>
      <c r="O497" s="7"/>
      <c r="P497" s="7"/>
      <c r="Q497" s="7"/>
      <c r="R497" s="7"/>
      <c r="S497" s="7"/>
      <c r="T497" s="7"/>
      <c r="U497" s="7"/>
      <c r="V497" s="7"/>
    </row>
    <row r="498" spans="1:22" ht="12.75" customHeight="1">
      <c r="A498" s="7"/>
      <c r="B498" s="7"/>
      <c r="C498" s="8"/>
      <c r="D498" s="66"/>
      <c r="E498" s="7"/>
      <c r="F498" s="7"/>
      <c r="G498" s="7"/>
      <c r="H498" s="7"/>
      <c r="I498" s="7"/>
      <c r="J498" s="7"/>
      <c r="K498" s="7"/>
      <c r="L498" s="7"/>
      <c r="M498" s="7"/>
      <c r="N498" s="7"/>
      <c r="O498" s="7"/>
      <c r="P498" s="7"/>
      <c r="Q498" s="7"/>
      <c r="R498" s="7"/>
      <c r="S498" s="7"/>
      <c r="T498" s="7"/>
      <c r="U498" s="7"/>
      <c r="V498" s="7"/>
    </row>
    <row r="499" spans="1:22" ht="12.75" customHeight="1">
      <c r="A499" s="7"/>
      <c r="B499" s="7"/>
      <c r="C499" s="8"/>
      <c r="D499" s="66"/>
      <c r="E499" s="7"/>
      <c r="F499" s="7"/>
      <c r="G499" s="7"/>
      <c r="H499" s="7"/>
      <c r="I499" s="7"/>
      <c r="J499" s="7"/>
      <c r="K499" s="7"/>
      <c r="L499" s="7"/>
      <c r="M499" s="7"/>
      <c r="N499" s="7"/>
      <c r="O499" s="7"/>
      <c r="P499" s="7"/>
      <c r="Q499" s="7"/>
      <c r="R499" s="7"/>
      <c r="S499" s="7"/>
      <c r="T499" s="7"/>
      <c r="U499" s="7"/>
      <c r="V499" s="7"/>
    </row>
    <row r="500" spans="1:22" ht="12.75" customHeight="1">
      <c r="A500" s="7"/>
      <c r="B500" s="7"/>
      <c r="C500" s="8"/>
      <c r="D500" s="66"/>
      <c r="E500" s="7"/>
      <c r="F500" s="7"/>
      <c r="G500" s="7"/>
      <c r="H500" s="7"/>
      <c r="I500" s="7"/>
      <c r="J500" s="7"/>
      <c r="K500" s="7"/>
      <c r="L500" s="7"/>
      <c r="M500" s="7"/>
      <c r="N500" s="7"/>
      <c r="O500" s="7"/>
      <c r="P500" s="7"/>
      <c r="Q500" s="7"/>
      <c r="R500" s="7"/>
      <c r="S500" s="7"/>
      <c r="T500" s="7"/>
      <c r="U500" s="7"/>
      <c r="V500" s="7"/>
    </row>
    <row r="501" spans="1:22" ht="12.75" customHeight="1">
      <c r="A501" s="7"/>
      <c r="B501" s="7"/>
      <c r="C501" s="8"/>
      <c r="D501" s="66"/>
      <c r="E501" s="7"/>
      <c r="F501" s="7"/>
      <c r="G501" s="7"/>
      <c r="H501" s="7"/>
      <c r="I501" s="7"/>
      <c r="J501" s="7"/>
      <c r="K501" s="7"/>
      <c r="L501" s="7"/>
      <c r="M501" s="7"/>
      <c r="N501" s="7"/>
      <c r="O501" s="7"/>
      <c r="P501" s="7"/>
      <c r="Q501" s="7"/>
      <c r="R501" s="7"/>
      <c r="S501" s="7"/>
      <c r="T501" s="7"/>
      <c r="U501" s="7"/>
      <c r="V501" s="7"/>
    </row>
    <row r="502" spans="1:22" ht="12.75" customHeight="1">
      <c r="A502" s="7"/>
      <c r="B502" s="7"/>
      <c r="C502" s="8"/>
      <c r="D502" s="66"/>
      <c r="E502" s="7"/>
      <c r="F502" s="7"/>
      <c r="G502" s="7"/>
      <c r="H502" s="7"/>
      <c r="I502" s="7"/>
      <c r="J502" s="7"/>
      <c r="K502" s="7"/>
      <c r="L502" s="7"/>
      <c r="M502" s="7"/>
      <c r="N502" s="7"/>
      <c r="O502" s="7"/>
      <c r="P502" s="7"/>
      <c r="Q502" s="7"/>
      <c r="R502" s="7"/>
      <c r="S502" s="7"/>
      <c r="T502" s="7"/>
      <c r="U502" s="7"/>
      <c r="V502" s="7"/>
    </row>
    <row r="503" spans="1:22" ht="12.75" customHeight="1">
      <c r="A503" s="7"/>
      <c r="B503" s="7"/>
      <c r="C503" s="8"/>
      <c r="D503" s="66"/>
      <c r="E503" s="7"/>
      <c r="F503" s="7"/>
      <c r="G503" s="7"/>
      <c r="H503" s="7"/>
      <c r="I503" s="7"/>
      <c r="J503" s="7"/>
      <c r="K503" s="7"/>
      <c r="L503" s="7"/>
      <c r="M503" s="7"/>
      <c r="N503" s="7"/>
      <c r="O503" s="7"/>
      <c r="P503" s="7"/>
      <c r="Q503" s="7"/>
      <c r="R503" s="7"/>
      <c r="S503" s="7"/>
      <c r="T503" s="7"/>
      <c r="U503" s="7"/>
      <c r="V503" s="7"/>
    </row>
    <row r="504" spans="1:22" ht="12.75" customHeight="1">
      <c r="A504" s="7"/>
      <c r="B504" s="7"/>
      <c r="C504" s="8"/>
      <c r="D504" s="66"/>
      <c r="E504" s="7"/>
      <c r="F504" s="7"/>
      <c r="G504" s="7"/>
      <c r="H504" s="7"/>
      <c r="I504" s="7"/>
      <c r="J504" s="7"/>
      <c r="K504" s="7"/>
      <c r="L504" s="7"/>
      <c r="M504" s="7"/>
      <c r="N504" s="7"/>
      <c r="O504" s="7"/>
      <c r="P504" s="7"/>
      <c r="Q504" s="7"/>
      <c r="R504" s="7"/>
      <c r="S504" s="7"/>
      <c r="T504" s="7"/>
      <c r="U504" s="7"/>
      <c r="V504" s="7"/>
    </row>
    <row r="505" spans="1:22" ht="12.75" customHeight="1">
      <c r="A505" s="7"/>
      <c r="B505" s="7"/>
      <c r="C505" s="8"/>
      <c r="D505" s="66"/>
      <c r="E505" s="7"/>
      <c r="F505" s="7"/>
      <c r="G505" s="7"/>
      <c r="H505" s="7"/>
      <c r="I505" s="7"/>
      <c r="J505" s="7"/>
      <c r="K505" s="7"/>
      <c r="L505" s="7"/>
      <c r="M505" s="7"/>
      <c r="N505" s="7"/>
      <c r="O505" s="7"/>
      <c r="P505" s="7"/>
      <c r="Q505" s="7"/>
      <c r="R505" s="7"/>
      <c r="S505" s="7"/>
      <c r="T505" s="7"/>
      <c r="U505" s="7"/>
      <c r="V505" s="7"/>
    </row>
    <row r="506" spans="1:22" ht="12.75" customHeight="1">
      <c r="A506" s="7"/>
      <c r="B506" s="7"/>
      <c r="C506" s="8"/>
      <c r="D506" s="66"/>
      <c r="E506" s="7"/>
      <c r="F506" s="7"/>
      <c r="G506" s="7"/>
      <c r="H506" s="7"/>
      <c r="I506" s="7"/>
      <c r="J506" s="7"/>
      <c r="K506" s="7"/>
      <c r="L506" s="7"/>
      <c r="M506" s="7"/>
      <c r="N506" s="7"/>
      <c r="O506" s="7"/>
      <c r="P506" s="7"/>
      <c r="Q506" s="7"/>
      <c r="R506" s="7"/>
      <c r="S506" s="7"/>
      <c r="T506" s="7"/>
      <c r="U506" s="7"/>
      <c r="V506" s="7"/>
    </row>
    <row r="507" spans="1:22" ht="12.75" customHeight="1">
      <c r="A507" s="7"/>
      <c r="B507" s="7"/>
      <c r="C507" s="8"/>
      <c r="D507" s="66"/>
      <c r="E507" s="7"/>
      <c r="F507" s="7"/>
      <c r="G507" s="7"/>
      <c r="H507" s="7"/>
      <c r="I507" s="7"/>
      <c r="J507" s="7"/>
      <c r="K507" s="7"/>
      <c r="L507" s="7"/>
      <c r="M507" s="7"/>
      <c r="N507" s="7"/>
      <c r="O507" s="7"/>
      <c r="P507" s="7"/>
      <c r="Q507" s="7"/>
      <c r="R507" s="7"/>
      <c r="S507" s="7"/>
      <c r="T507" s="7"/>
      <c r="U507" s="7"/>
      <c r="V507" s="7"/>
    </row>
    <row r="508" spans="1:22" ht="12.75" customHeight="1">
      <c r="A508" s="7"/>
      <c r="B508" s="7"/>
      <c r="C508" s="8"/>
      <c r="D508" s="66"/>
      <c r="E508" s="7"/>
      <c r="F508" s="7"/>
      <c r="G508" s="7"/>
      <c r="H508" s="7"/>
      <c r="I508" s="7"/>
      <c r="J508" s="7"/>
      <c r="K508" s="7"/>
      <c r="L508" s="7"/>
      <c r="M508" s="7"/>
      <c r="N508" s="7"/>
      <c r="O508" s="7"/>
      <c r="P508" s="7"/>
      <c r="Q508" s="7"/>
      <c r="R508" s="7"/>
      <c r="S508" s="7"/>
      <c r="T508" s="7"/>
      <c r="U508" s="7"/>
      <c r="V508" s="7"/>
    </row>
    <row r="509" spans="1:22" ht="12.75" customHeight="1">
      <c r="A509" s="7"/>
      <c r="B509" s="7"/>
      <c r="C509" s="8"/>
      <c r="D509" s="66"/>
      <c r="E509" s="7"/>
      <c r="F509" s="7"/>
      <c r="G509" s="7"/>
      <c r="H509" s="7"/>
      <c r="I509" s="7"/>
      <c r="J509" s="7"/>
      <c r="K509" s="7"/>
      <c r="L509" s="7"/>
      <c r="M509" s="7"/>
      <c r="N509" s="7"/>
      <c r="O509" s="7"/>
      <c r="P509" s="7"/>
      <c r="Q509" s="7"/>
      <c r="R509" s="7"/>
      <c r="S509" s="7"/>
      <c r="T509" s="7"/>
      <c r="U509" s="7"/>
      <c r="V509" s="7"/>
    </row>
    <row r="510" spans="1:22" ht="12.75" customHeight="1">
      <c r="A510" s="7"/>
      <c r="B510" s="7"/>
      <c r="C510" s="8"/>
      <c r="D510" s="66"/>
      <c r="E510" s="7"/>
      <c r="F510" s="7"/>
      <c r="G510" s="7"/>
      <c r="H510" s="7"/>
      <c r="I510" s="7"/>
      <c r="J510" s="7"/>
      <c r="K510" s="7"/>
      <c r="L510" s="7"/>
      <c r="M510" s="7"/>
      <c r="N510" s="7"/>
      <c r="O510" s="7"/>
      <c r="P510" s="7"/>
      <c r="Q510" s="7"/>
      <c r="R510" s="7"/>
      <c r="S510" s="7"/>
      <c r="T510" s="7"/>
      <c r="U510" s="7"/>
      <c r="V510" s="7"/>
    </row>
    <row r="511" spans="1:22" ht="12.75" customHeight="1">
      <c r="A511" s="7"/>
      <c r="B511" s="7"/>
      <c r="C511" s="8"/>
      <c r="D511" s="66"/>
      <c r="E511" s="7"/>
      <c r="F511" s="7"/>
      <c r="G511" s="7"/>
      <c r="H511" s="7"/>
      <c r="I511" s="7"/>
      <c r="J511" s="7"/>
      <c r="K511" s="7"/>
      <c r="L511" s="7"/>
      <c r="M511" s="7"/>
      <c r="N511" s="7"/>
      <c r="O511" s="7"/>
      <c r="P511" s="7"/>
      <c r="Q511" s="7"/>
      <c r="R511" s="7"/>
      <c r="S511" s="7"/>
      <c r="T511" s="7"/>
      <c r="U511" s="7"/>
      <c r="V511" s="7"/>
    </row>
    <row r="512" spans="1:22" ht="12.75" customHeight="1">
      <c r="A512" s="7"/>
      <c r="B512" s="7"/>
      <c r="C512" s="8"/>
      <c r="D512" s="66"/>
      <c r="E512" s="7"/>
      <c r="F512" s="7"/>
      <c r="G512" s="7"/>
      <c r="H512" s="7"/>
      <c r="I512" s="7"/>
      <c r="J512" s="7"/>
      <c r="K512" s="7"/>
      <c r="L512" s="7"/>
      <c r="M512" s="7"/>
      <c r="N512" s="7"/>
      <c r="O512" s="7"/>
      <c r="P512" s="7"/>
      <c r="Q512" s="7"/>
      <c r="R512" s="7"/>
      <c r="S512" s="7"/>
      <c r="T512" s="7"/>
      <c r="U512" s="7"/>
      <c r="V512" s="7"/>
    </row>
    <row r="513" spans="1:22" ht="12.75" customHeight="1">
      <c r="A513" s="7"/>
      <c r="B513" s="7"/>
      <c r="C513" s="8"/>
      <c r="D513" s="66"/>
      <c r="E513" s="7"/>
      <c r="F513" s="7"/>
      <c r="G513" s="7"/>
      <c r="H513" s="7"/>
      <c r="I513" s="7"/>
      <c r="J513" s="7"/>
      <c r="K513" s="7"/>
      <c r="L513" s="7"/>
      <c r="M513" s="7"/>
      <c r="N513" s="7"/>
      <c r="O513" s="7"/>
      <c r="P513" s="7"/>
      <c r="Q513" s="7"/>
      <c r="R513" s="7"/>
      <c r="S513" s="7"/>
      <c r="T513" s="7"/>
      <c r="U513" s="7"/>
      <c r="V513" s="7"/>
    </row>
    <row r="514" spans="1:22" ht="12.75" customHeight="1">
      <c r="A514" s="7"/>
      <c r="B514" s="7"/>
      <c r="C514" s="8"/>
      <c r="D514" s="66"/>
      <c r="E514" s="7"/>
      <c r="F514" s="7"/>
      <c r="G514" s="7"/>
      <c r="H514" s="7"/>
      <c r="I514" s="7"/>
      <c r="J514" s="7"/>
      <c r="K514" s="7"/>
      <c r="L514" s="7"/>
      <c r="M514" s="7"/>
      <c r="N514" s="7"/>
      <c r="O514" s="7"/>
      <c r="P514" s="7"/>
      <c r="Q514" s="7"/>
      <c r="R514" s="7"/>
      <c r="S514" s="7"/>
      <c r="T514" s="7"/>
      <c r="U514" s="7"/>
      <c r="V514" s="7"/>
    </row>
    <row r="515" spans="1:22" ht="12.75" customHeight="1">
      <c r="A515" s="7"/>
      <c r="B515" s="7"/>
      <c r="C515" s="8"/>
      <c r="D515" s="66"/>
      <c r="E515" s="7"/>
      <c r="F515" s="7"/>
      <c r="G515" s="7"/>
      <c r="H515" s="7"/>
      <c r="I515" s="7"/>
      <c r="J515" s="7"/>
      <c r="K515" s="7"/>
      <c r="L515" s="7"/>
      <c r="M515" s="7"/>
      <c r="N515" s="7"/>
      <c r="O515" s="7"/>
      <c r="P515" s="7"/>
      <c r="Q515" s="7"/>
      <c r="R515" s="7"/>
      <c r="S515" s="7"/>
      <c r="T515" s="7"/>
      <c r="U515" s="7"/>
      <c r="V515" s="7"/>
    </row>
    <row r="516" spans="1:22" ht="12.75" customHeight="1">
      <c r="A516" s="7"/>
      <c r="B516" s="7"/>
      <c r="C516" s="8"/>
      <c r="D516" s="66"/>
      <c r="E516" s="7"/>
      <c r="F516" s="7"/>
      <c r="G516" s="7"/>
      <c r="H516" s="7"/>
      <c r="I516" s="7"/>
      <c r="J516" s="7"/>
      <c r="K516" s="7"/>
      <c r="L516" s="7"/>
      <c r="M516" s="7"/>
      <c r="N516" s="7"/>
      <c r="O516" s="7"/>
      <c r="P516" s="7"/>
      <c r="Q516" s="7"/>
      <c r="R516" s="7"/>
      <c r="S516" s="7"/>
      <c r="T516" s="7"/>
      <c r="U516" s="7"/>
      <c r="V516" s="7"/>
    </row>
    <row r="517" spans="1:22" ht="12.75" customHeight="1">
      <c r="A517" s="7"/>
      <c r="B517" s="7"/>
      <c r="C517" s="8"/>
      <c r="D517" s="66"/>
      <c r="E517" s="7"/>
      <c r="F517" s="7"/>
      <c r="G517" s="7"/>
      <c r="H517" s="7"/>
      <c r="I517" s="7"/>
      <c r="J517" s="7"/>
      <c r="K517" s="7"/>
      <c r="L517" s="7"/>
      <c r="M517" s="7"/>
      <c r="N517" s="7"/>
      <c r="O517" s="7"/>
      <c r="P517" s="7"/>
      <c r="Q517" s="7"/>
      <c r="R517" s="7"/>
      <c r="S517" s="7"/>
      <c r="T517" s="7"/>
      <c r="U517" s="7"/>
      <c r="V517" s="7"/>
    </row>
    <row r="518" spans="1:22" ht="12.75" customHeight="1">
      <c r="A518" s="7"/>
      <c r="B518" s="7"/>
      <c r="C518" s="8"/>
      <c r="D518" s="66"/>
      <c r="E518" s="7"/>
      <c r="F518" s="7"/>
      <c r="G518" s="7"/>
      <c r="H518" s="7"/>
      <c r="I518" s="7"/>
      <c r="J518" s="7"/>
      <c r="K518" s="7"/>
      <c r="L518" s="7"/>
      <c r="M518" s="7"/>
      <c r="N518" s="7"/>
      <c r="O518" s="7"/>
      <c r="P518" s="7"/>
      <c r="Q518" s="7"/>
      <c r="R518" s="7"/>
      <c r="S518" s="7"/>
      <c r="T518" s="7"/>
      <c r="U518" s="7"/>
      <c r="V518" s="7"/>
    </row>
    <row r="519" spans="1:22" ht="12.75" customHeight="1">
      <c r="A519" s="7"/>
      <c r="B519" s="7"/>
      <c r="C519" s="8"/>
      <c r="D519" s="66"/>
      <c r="E519" s="7"/>
      <c r="F519" s="7"/>
      <c r="G519" s="7"/>
      <c r="H519" s="7"/>
      <c r="I519" s="7"/>
      <c r="J519" s="7"/>
      <c r="K519" s="7"/>
      <c r="L519" s="7"/>
      <c r="M519" s="7"/>
      <c r="N519" s="7"/>
      <c r="O519" s="7"/>
      <c r="P519" s="7"/>
      <c r="Q519" s="7"/>
      <c r="R519" s="7"/>
      <c r="S519" s="7"/>
      <c r="T519" s="7"/>
      <c r="U519" s="7"/>
      <c r="V519" s="7"/>
    </row>
    <row r="520" spans="1:22" ht="12.75" customHeight="1">
      <c r="A520" s="7"/>
      <c r="B520" s="7"/>
      <c r="C520" s="8"/>
      <c r="D520" s="66"/>
      <c r="E520" s="7"/>
      <c r="F520" s="7"/>
      <c r="G520" s="7"/>
      <c r="H520" s="7"/>
      <c r="I520" s="7"/>
      <c r="J520" s="7"/>
      <c r="K520" s="7"/>
      <c r="L520" s="7"/>
      <c r="M520" s="7"/>
      <c r="N520" s="7"/>
      <c r="O520" s="7"/>
      <c r="P520" s="7"/>
      <c r="Q520" s="7"/>
      <c r="R520" s="7"/>
      <c r="S520" s="7"/>
      <c r="T520" s="7"/>
      <c r="U520" s="7"/>
      <c r="V520" s="7"/>
    </row>
    <row r="521" spans="1:22" ht="12.75" customHeight="1">
      <c r="A521" s="7"/>
      <c r="B521" s="7"/>
      <c r="C521" s="8"/>
      <c r="D521" s="66"/>
      <c r="E521" s="7"/>
      <c r="F521" s="7"/>
      <c r="G521" s="7"/>
      <c r="H521" s="7"/>
      <c r="I521" s="7"/>
      <c r="J521" s="7"/>
      <c r="K521" s="7"/>
      <c r="L521" s="7"/>
      <c r="M521" s="7"/>
      <c r="N521" s="7"/>
      <c r="O521" s="7"/>
      <c r="P521" s="7"/>
      <c r="Q521" s="7"/>
      <c r="R521" s="7"/>
      <c r="S521" s="7"/>
      <c r="T521" s="7"/>
      <c r="U521" s="7"/>
      <c r="V521" s="7"/>
    </row>
    <row r="522" spans="1:22" ht="12.75" customHeight="1">
      <c r="A522" s="7"/>
      <c r="B522" s="7"/>
      <c r="C522" s="8"/>
      <c r="D522" s="66"/>
      <c r="E522" s="7"/>
      <c r="F522" s="7"/>
      <c r="G522" s="7"/>
      <c r="H522" s="7"/>
      <c r="I522" s="7"/>
      <c r="J522" s="7"/>
      <c r="K522" s="7"/>
      <c r="L522" s="7"/>
      <c r="M522" s="7"/>
      <c r="N522" s="7"/>
      <c r="O522" s="7"/>
      <c r="P522" s="7"/>
      <c r="Q522" s="7"/>
      <c r="R522" s="7"/>
      <c r="S522" s="7"/>
      <c r="T522" s="7"/>
      <c r="U522" s="7"/>
      <c r="V522" s="7"/>
    </row>
    <row r="523" spans="1:22" ht="12.75" customHeight="1">
      <c r="A523" s="7"/>
      <c r="B523" s="7"/>
      <c r="C523" s="8"/>
      <c r="D523" s="66"/>
      <c r="E523" s="7"/>
      <c r="F523" s="7"/>
      <c r="G523" s="7"/>
      <c r="H523" s="7"/>
      <c r="I523" s="7"/>
      <c r="J523" s="7"/>
      <c r="K523" s="7"/>
      <c r="L523" s="7"/>
      <c r="M523" s="7"/>
      <c r="N523" s="7"/>
      <c r="O523" s="7"/>
      <c r="P523" s="7"/>
      <c r="Q523" s="7"/>
      <c r="R523" s="7"/>
      <c r="S523" s="7"/>
      <c r="T523" s="7"/>
      <c r="U523" s="7"/>
      <c r="V523" s="7"/>
    </row>
    <row r="524" spans="1:22" ht="12.75" customHeight="1">
      <c r="A524" s="7"/>
      <c r="B524" s="7"/>
      <c r="C524" s="8"/>
      <c r="D524" s="66"/>
      <c r="E524" s="7"/>
      <c r="F524" s="7"/>
      <c r="G524" s="7"/>
      <c r="H524" s="7"/>
      <c r="I524" s="7"/>
      <c r="J524" s="7"/>
      <c r="K524" s="7"/>
      <c r="L524" s="7"/>
      <c r="M524" s="7"/>
      <c r="N524" s="7"/>
      <c r="O524" s="7"/>
      <c r="P524" s="7"/>
      <c r="Q524" s="7"/>
      <c r="R524" s="7"/>
      <c r="S524" s="7"/>
      <c r="T524" s="7"/>
      <c r="U524" s="7"/>
      <c r="V524" s="7"/>
    </row>
    <row r="525" spans="1:22" ht="12.75" customHeight="1">
      <c r="A525" s="7"/>
      <c r="B525" s="7"/>
      <c r="C525" s="8"/>
      <c r="D525" s="66"/>
      <c r="E525" s="7"/>
      <c r="F525" s="7"/>
      <c r="G525" s="7"/>
      <c r="H525" s="7"/>
      <c r="I525" s="7"/>
      <c r="J525" s="7"/>
      <c r="K525" s="7"/>
      <c r="L525" s="7"/>
      <c r="M525" s="7"/>
      <c r="N525" s="7"/>
      <c r="O525" s="7"/>
      <c r="P525" s="7"/>
      <c r="Q525" s="7"/>
      <c r="R525" s="7"/>
      <c r="S525" s="7"/>
      <c r="T525" s="7"/>
      <c r="U525" s="7"/>
      <c r="V525" s="7"/>
    </row>
    <row r="526" spans="1:22" ht="12.75" customHeight="1">
      <c r="A526" s="7"/>
      <c r="B526" s="7"/>
      <c r="C526" s="8"/>
      <c r="D526" s="66"/>
      <c r="E526" s="7"/>
      <c r="F526" s="7"/>
      <c r="G526" s="7"/>
      <c r="H526" s="7"/>
      <c r="I526" s="7"/>
      <c r="J526" s="7"/>
      <c r="K526" s="7"/>
      <c r="L526" s="7"/>
      <c r="M526" s="7"/>
      <c r="N526" s="7"/>
      <c r="O526" s="7"/>
      <c r="P526" s="7"/>
      <c r="Q526" s="7"/>
      <c r="R526" s="7"/>
      <c r="S526" s="7"/>
      <c r="T526" s="7"/>
      <c r="U526" s="7"/>
      <c r="V526" s="7"/>
    </row>
    <row r="527" spans="1:22" ht="12.75" customHeight="1">
      <c r="A527" s="7"/>
      <c r="B527" s="7"/>
      <c r="C527" s="8"/>
      <c r="D527" s="66"/>
      <c r="E527" s="7"/>
      <c r="F527" s="7"/>
      <c r="G527" s="7"/>
      <c r="H527" s="7"/>
      <c r="I527" s="7"/>
      <c r="J527" s="7"/>
      <c r="K527" s="7"/>
      <c r="L527" s="7"/>
      <c r="M527" s="7"/>
      <c r="N527" s="7"/>
      <c r="O527" s="7"/>
      <c r="P527" s="7"/>
      <c r="Q527" s="7"/>
      <c r="R527" s="7"/>
      <c r="S527" s="7"/>
      <c r="T527" s="7"/>
      <c r="U527" s="7"/>
      <c r="V527" s="7"/>
    </row>
    <row r="528" spans="1:22" ht="12.75" customHeight="1">
      <c r="A528" s="7"/>
      <c r="B528" s="7"/>
      <c r="C528" s="8"/>
      <c r="D528" s="66"/>
      <c r="E528" s="7"/>
      <c r="F528" s="7"/>
      <c r="G528" s="7"/>
      <c r="H528" s="7"/>
      <c r="I528" s="7"/>
      <c r="J528" s="7"/>
      <c r="K528" s="7"/>
      <c r="L528" s="7"/>
      <c r="M528" s="7"/>
      <c r="N528" s="7"/>
      <c r="O528" s="7"/>
      <c r="P528" s="7"/>
      <c r="Q528" s="7"/>
      <c r="R528" s="7"/>
      <c r="S528" s="7"/>
      <c r="T528" s="7"/>
      <c r="U528" s="7"/>
      <c r="V528" s="7"/>
    </row>
    <row r="529" spans="1:22" ht="12.75" customHeight="1">
      <c r="A529" s="7"/>
      <c r="B529" s="7"/>
      <c r="C529" s="8"/>
      <c r="D529" s="66"/>
      <c r="E529" s="7"/>
      <c r="F529" s="7"/>
      <c r="G529" s="7"/>
      <c r="H529" s="7"/>
      <c r="I529" s="7"/>
      <c r="J529" s="7"/>
      <c r="K529" s="7"/>
      <c r="L529" s="7"/>
      <c r="M529" s="7"/>
      <c r="N529" s="7"/>
      <c r="O529" s="7"/>
      <c r="P529" s="7"/>
      <c r="Q529" s="7"/>
      <c r="R529" s="7"/>
      <c r="S529" s="7"/>
      <c r="T529" s="7"/>
      <c r="U529" s="7"/>
      <c r="V529" s="7"/>
    </row>
    <row r="530" spans="1:22" ht="12.75" customHeight="1">
      <c r="A530" s="7"/>
      <c r="B530" s="7"/>
      <c r="C530" s="8"/>
      <c r="D530" s="66"/>
      <c r="E530" s="7"/>
      <c r="F530" s="7"/>
      <c r="G530" s="7"/>
      <c r="H530" s="7"/>
      <c r="I530" s="7"/>
      <c r="J530" s="7"/>
      <c r="K530" s="7"/>
      <c r="L530" s="7"/>
      <c r="M530" s="7"/>
      <c r="N530" s="7"/>
      <c r="O530" s="7"/>
      <c r="P530" s="7"/>
      <c r="Q530" s="7"/>
      <c r="R530" s="7"/>
      <c r="S530" s="7"/>
      <c r="T530" s="7"/>
      <c r="U530" s="7"/>
      <c r="V530" s="7"/>
    </row>
    <row r="531" spans="1:22" ht="12.75" customHeight="1">
      <c r="A531" s="7"/>
      <c r="B531" s="7"/>
      <c r="C531" s="8"/>
      <c r="D531" s="66"/>
      <c r="E531" s="7"/>
      <c r="F531" s="7"/>
      <c r="G531" s="7"/>
      <c r="H531" s="7"/>
      <c r="I531" s="7"/>
      <c r="J531" s="7"/>
      <c r="K531" s="7"/>
      <c r="L531" s="7"/>
      <c r="M531" s="7"/>
      <c r="N531" s="7"/>
      <c r="O531" s="7"/>
      <c r="P531" s="7"/>
      <c r="Q531" s="7"/>
      <c r="R531" s="7"/>
      <c r="S531" s="7"/>
      <c r="T531" s="7"/>
      <c r="U531" s="7"/>
      <c r="V531" s="7"/>
    </row>
    <row r="532" spans="1:22" ht="12.75" customHeight="1">
      <c r="A532" s="7"/>
      <c r="B532" s="7"/>
      <c r="C532" s="8"/>
      <c r="D532" s="66"/>
      <c r="E532" s="7"/>
      <c r="F532" s="7"/>
      <c r="G532" s="7"/>
      <c r="H532" s="7"/>
      <c r="I532" s="7"/>
      <c r="J532" s="7"/>
      <c r="K532" s="7"/>
      <c r="L532" s="7"/>
      <c r="M532" s="7"/>
      <c r="N532" s="7"/>
      <c r="O532" s="7"/>
      <c r="P532" s="7"/>
      <c r="Q532" s="7"/>
      <c r="R532" s="7"/>
      <c r="S532" s="7"/>
      <c r="T532" s="7"/>
      <c r="U532" s="7"/>
      <c r="V532" s="7"/>
    </row>
    <row r="533" spans="1:22" ht="12.75" customHeight="1">
      <c r="A533" s="7"/>
      <c r="B533" s="7"/>
      <c r="C533" s="8"/>
      <c r="D533" s="66"/>
      <c r="E533" s="7"/>
      <c r="F533" s="7"/>
      <c r="G533" s="7"/>
      <c r="H533" s="7"/>
      <c r="I533" s="7"/>
      <c r="J533" s="7"/>
      <c r="K533" s="7"/>
      <c r="L533" s="7"/>
      <c r="M533" s="7"/>
      <c r="N533" s="7"/>
      <c r="O533" s="7"/>
      <c r="P533" s="7"/>
      <c r="Q533" s="7"/>
      <c r="R533" s="7"/>
      <c r="S533" s="7"/>
      <c r="T533" s="7"/>
      <c r="U533" s="7"/>
      <c r="V533" s="7"/>
    </row>
    <row r="534" spans="1:22" ht="12.75" customHeight="1">
      <c r="A534" s="7"/>
      <c r="B534" s="7"/>
      <c r="C534" s="8"/>
      <c r="D534" s="66"/>
      <c r="E534" s="7"/>
      <c r="F534" s="7"/>
      <c r="G534" s="7"/>
      <c r="H534" s="7"/>
      <c r="I534" s="7"/>
      <c r="J534" s="7"/>
      <c r="K534" s="7"/>
      <c r="L534" s="7"/>
      <c r="M534" s="7"/>
      <c r="N534" s="7"/>
      <c r="O534" s="7"/>
      <c r="P534" s="7"/>
      <c r="Q534" s="7"/>
      <c r="R534" s="7"/>
      <c r="S534" s="7"/>
      <c r="T534" s="7"/>
      <c r="U534" s="7"/>
      <c r="V534" s="7"/>
    </row>
    <row r="535" spans="1:22" ht="12.75" customHeight="1">
      <c r="A535" s="7"/>
      <c r="B535" s="7"/>
      <c r="C535" s="8"/>
      <c r="D535" s="66"/>
      <c r="E535" s="7"/>
      <c r="F535" s="7"/>
      <c r="G535" s="7"/>
      <c r="H535" s="7"/>
      <c r="I535" s="7"/>
      <c r="J535" s="7"/>
      <c r="K535" s="7"/>
      <c r="L535" s="7"/>
      <c r="M535" s="7"/>
      <c r="N535" s="7"/>
      <c r="O535" s="7"/>
      <c r="P535" s="7"/>
      <c r="Q535" s="7"/>
      <c r="R535" s="7"/>
      <c r="S535" s="7"/>
      <c r="T535" s="7"/>
      <c r="U535" s="7"/>
      <c r="V535" s="7"/>
    </row>
    <row r="536" spans="1:22" ht="12.75" customHeight="1">
      <c r="A536" s="7"/>
      <c r="B536" s="7"/>
      <c r="C536" s="8"/>
      <c r="D536" s="66"/>
      <c r="E536" s="7"/>
      <c r="F536" s="7"/>
      <c r="G536" s="7"/>
      <c r="H536" s="7"/>
      <c r="I536" s="7"/>
      <c r="J536" s="7"/>
      <c r="K536" s="7"/>
      <c r="L536" s="7"/>
      <c r="M536" s="7"/>
      <c r="N536" s="7"/>
      <c r="O536" s="7"/>
      <c r="P536" s="7"/>
      <c r="Q536" s="7"/>
      <c r="R536" s="7"/>
      <c r="S536" s="7"/>
      <c r="T536" s="7"/>
      <c r="U536" s="7"/>
      <c r="V536" s="7"/>
    </row>
    <row r="537" spans="1:22" ht="12.75" customHeight="1">
      <c r="A537" s="7"/>
      <c r="B537" s="7"/>
      <c r="C537" s="8"/>
      <c r="D537" s="66"/>
      <c r="E537" s="7"/>
      <c r="F537" s="7"/>
      <c r="G537" s="7"/>
      <c r="H537" s="7"/>
      <c r="I537" s="7"/>
      <c r="J537" s="7"/>
      <c r="K537" s="7"/>
      <c r="L537" s="7"/>
      <c r="M537" s="7"/>
      <c r="N537" s="7"/>
      <c r="O537" s="7"/>
      <c r="P537" s="7"/>
      <c r="Q537" s="7"/>
      <c r="R537" s="7"/>
      <c r="S537" s="7"/>
      <c r="T537" s="7"/>
      <c r="U537" s="7"/>
      <c r="V537" s="7"/>
    </row>
    <row r="538" spans="1:22" ht="12.75" customHeight="1">
      <c r="A538" s="7"/>
      <c r="B538" s="7"/>
      <c r="C538" s="8"/>
      <c r="D538" s="66"/>
      <c r="E538" s="7"/>
      <c r="F538" s="7"/>
      <c r="G538" s="7"/>
      <c r="H538" s="7"/>
      <c r="I538" s="7"/>
      <c r="J538" s="7"/>
      <c r="K538" s="7"/>
      <c r="L538" s="7"/>
      <c r="M538" s="7"/>
      <c r="N538" s="7"/>
      <c r="O538" s="7"/>
      <c r="P538" s="7"/>
      <c r="Q538" s="7"/>
      <c r="R538" s="7"/>
      <c r="S538" s="7"/>
      <c r="T538" s="7"/>
      <c r="U538" s="7"/>
      <c r="V538" s="7"/>
    </row>
    <row r="539" spans="1:22" ht="12.75" customHeight="1">
      <c r="A539" s="7"/>
      <c r="B539" s="7"/>
      <c r="C539" s="8"/>
      <c r="D539" s="66"/>
      <c r="E539" s="7"/>
      <c r="F539" s="7"/>
      <c r="G539" s="7"/>
      <c r="H539" s="7"/>
      <c r="I539" s="7"/>
      <c r="J539" s="7"/>
      <c r="K539" s="7"/>
      <c r="L539" s="7"/>
      <c r="M539" s="7"/>
      <c r="N539" s="7"/>
      <c r="O539" s="7"/>
      <c r="P539" s="7"/>
      <c r="Q539" s="7"/>
      <c r="R539" s="7"/>
      <c r="S539" s="7"/>
      <c r="T539" s="7"/>
      <c r="U539" s="7"/>
      <c r="V539" s="7"/>
    </row>
    <row r="540" spans="1:22" ht="12.75" customHeight="1">
      <c r="A540" s="7"/>
      <c r="B540" s="7"/>
      <c r="C540" s="8"/>
      <c r="D540" s="66"/>
      <c r="E540" s="7"/>
      <c r="F540" s="7"/>
      <c r="G540" s="7"/>
      <c r="H540" s="7"/>
      <c r="I540" s="7"/>
      <c r="J540" s="7"/>
      <c r="K540" s="7"/>
      <c r="L540" s="7"/>
      <c r="M540" s="7"/>
      <c r="N540" s="7"/>
      <c r="O540" s="7"/>
      <c r="P540" s="7"/>
      <c r="Q540" s="7"/>
      <c r="R540" s="7"/>
      <c r="S540" s="7"/>
      <c r="T540" s="7"/>
      <c r="U540" s="7"/>
      <c r="V540" s="7"/>
    </row>
    <row r="541" spans="1:22" ht="12.75" customHeight="1">
      <c r="A541" s="7"/>
      <c r="B541" s="7"/>
      <c r="C541" s="8"/>
      <c r="D541" s="66"/>
      <c r="E541" s="7"/>
      <c r="F541" s="7"/>
      <c r="G541" s="7"/>
      <c r="H541" s="7"/>
      <c r="I541" s="7"/>
      <c r="J541" s="7"/>
      <c r="K541" s="7"/>
      <c r="L541" s="7"/>
      <c r="M541" s="7"/>
      <c r="N541" s="7"/>
      <c r="O541" s="7"/>
      <c r="P541" s="7"/>
      <c r="Q541" s="7"/>
      <c r="R541" s="7"/>
      <c r="S541" s="7"/>
      <c r="T541" s="7"/>
      <c r="U541" s="7"/>
      <c r="V541" s="7"/>
    </row>
    <row r="542" spans="1:22" ht="12.75" customHeight="1">
      <c r="A542" s="7"/>
      <c r="B542" s="7"/>
      <c r="C542" s="8"/>
      <c r="D542" s="66"/>
      <c r="E542" s="7"/>
      <c r="F542" s="7"/>
      <c r="G542" s="7"/>
      <c r="H542" s="7"/>
      <c r="I542" s="7"/>
      <c r="J542" s="7"/>
      <c r="K542" s="7"/>
      <c r="L542" s="7"/>
      <c r="M542" s="7"/>
      <c r="N542" s="7"/>
      <c r="O542" s="7"/>
      <c r="P542" s="7"/>
      <c r="Q542" s="7"/>
      <c r="R542" s="7"/>
      <c r="S542" s="7"/>
      <c r="T542" s="7"/>
      <c r="U542" s="7"/>
      <c r="V542" s="7"/>
    </row>
    <row r="543" spans="1:22" ht="12.75" customHeight="1">
      <c r="A543" s="7"/>
      <c r="B543" s="7"/>
      <c r="C543" s="8"/>
      <c r="D543" s="66"/>
      <c r="E543" s="7"/>
      <c r="F543" s="7"/>
      <c r="G543" s="7"/>
      <c r="H543" s="7"/>
      <c r="I543" s="7"/>
      <c r="J543" s="7"/>
      <c r="K543" s="7"/>
      <c r="L543" s="7"/>
      <c r="M543" s="7"/>
      <c r="N543" s="7"/>
      <c r="O543" s="7"/>
      <c r="P543" s="7"/>
      <c r="Q543" s="7"/>
      <c r="R543" s="7"/>
      <c r="S543" s="7"/>
      <c r="T543" s="7"/>
      <c r="U543" s="7"/>
      <c r="V543" s="7"/>
    </row>
    <row r="544" spans="1:22" ht="12.75" customHeight="1">
      <c r="A544" s="7"/>
      <c r="B544" s="7"/>
      <c r="C544" s="8"/>
      <c r="D544" s="66"/>
      <c r="E544" s="7"/>
      <c r="F544" s="7"/>
      <c r="G544" s="7"/>
      <c r="H544" s="7"/>
      <c r="I544" s="7"/>
      <c r="J544" s="7"/>
      <c r="K544" s="7"/>
      <c r="L544" s="7"/>
      <c r="M544" s="7"/>
      <c r="N544" s="7"/>
      <c r="O544" s="7"/>
      <c r="P544" s="7"/>
      <c r="Q544" s="7"/>
      <c r="R544" s="7"/>
      <c r="S544" s="7"/>
      <c r="T544" s="7"/>
      <c r="U544" s="7"/>
      <c r="V544" s="7"/>
    </row>
    <row r="545" spans="1:22" ht="12.75" customHeight="1">
      <c r="A545" s="7"/>
      <c r="B545" s="7"/>
      <c r="C545" s="8"/>
      <c r="D545" s="66"/>
      <c r="E545" s="7"/>
      <c r="F545" s="7"/>
      <c r="G545" s="7"/>
      <c r="H545" s="7"/>
      <c r="I545" s="7"/>
      <c r="J545" s="7"/>
      <c r="K545" s="7"/>
      <c r="L545" s="7"/>
      <c r="M545" s="7"/>
      <c r="N545" s="7"/>
      <c r="O545" s="7"/>
      <c r="P545" s="7"/>
      <c r="Q545" s="7"/>
      <c r="R545" s="7"/>
      <c r="S545" s="7"/>
      <c r="T545" s="7"/>
      <c r="U545" s="7"/>
      <c r="V545" s="7"/>
    </row>
    <row r="546" spans="1:22" ht="12.75" customHeight="1">
      <c r="A546" s="7"/>
      <c r="B546" s="7"/>
      <c r="C546" s="8"/>
      <c r="D546" s="66"/>
      <c r="E546" s="7"/>
      <c r="F546" s="7"/>
      <c r="G546" s="7"/>
      <c r="H546" s="7"/>
      <c r="I546" s="7"/>
      <c r="J546" s="7"/>
      <c r="K546" s="7"/>
      <c r="L546" s="7"/>
      <c r="M546" s="7"/>
      <c r="N546" s="7"/>
      <c r="O546" s="7"/>
      <c r="P546" s="7"/>
      <c r="Q546" s="7"/>
      <c r="R546" s="7"/>
      <c r="S546" s="7"/>
      <c r="T546" s="7"/>
      <c r="U546" s="7"/>
      <c r="V546" s="7"/>
    </row>
    <row r="547" spans="1:22" ht="12.75" customHeight="1">
      <c r="A547" s="7"/>
      <c r="B547" s="7"/>
      <c r="C547" s="8"/>
      <c r="D547" s="66"/>
      <c r="E547" s="7"/>
      <c r="F547" s="7"/>
      <c r="G547" s="7"/>
      <c r="H547" s="7"/>
      <c r="I547" s="7"/>
      <c r="J547" s="7"/>
      <c r="K547" s="7"/>
      <c r="L547" s="7"/>
      <c r="M547" s="7"/>
      <c r="N547" s="7"/>
      <c r="O547" s="7"/>
      <c r="P547" s="7"/>
      <c r="Q547" s="7"/>
      <c r="R547" s="7"/>
      <c r="S547" s="7"/>
      <c r="T547" s="7"/>
      <c r="U547" s="7"/>
      <c r="V547" s="7"/>
    </row>
    <row r="548" spans="1:22" ht="12.75" customHeight="1">
      <c r="A548" s="7"/>
      <c r="B548" s="7"/>
      <c r="C548" s="8"/>
      <c r="D548" s="66"/>
      <c r="E548" s="7"/>
      <c r="F548" s="7"/>
      <c r="G548" s="7"/>
      <c r="H548" s="7"/>
      <c r="I548" s="7"/>
      <c r="J548" s="7"/>
      <c r="K548" s="7"/>
      <c r="L548" s="7"/>
      <c r="M548" s="7"/>
      <c r="N548" s="7"/>
      <c r="O548" s="7"/>
      <c r="P548" s="7"/>
      <c r="Q548" s="7"/>
      <c r="R548" s="7"/>
      <c r="S548" s="7"/>
      <c r="T548" s="7"/>
      <c r="U548" s="7"/>
      <c r="V548" s="7"/>
    </row>
    <row r="549" spans="1:22" ht="12.75" customHeight="1">
      <c r="A549" s="7"/>
      <c r="B549" s="7"/>
      <c r="C549" s="8"/>
      <c r="D549" s="66"/>
      <c r="E549" s="7"/>
      <c r="F549" s="7"/>
      <c r="G549" s="7"/>
      <c r="H549" s="7"/>
      <c r="I549" s="7"/>
      <c r="J549" s="7"/>
      <c r="K549" s="7"/>
      <c r="L549" s="7"/>
      <c r="M549" s="7"/>
      <c r="N549" s="7"/>
      <c r="O549" s="7"/>
      <c r="P549" s="7"/>
      <c r="Q549" s="7"/>
      <c r="R549" s="7"/>
      <c r="S549" s="7"/>
      <c r="T549" s="7"/>
      <c r="U549" s="7"/>
      <c r="V549" s="7"/>
    </row>
    <row r="550" spans="1:22" ht="12.75" customHeight="1">
      <c r="A550" s="7"/>
      <c r="B550" s="7"/>
      <c r="C550" s="8"/>
      <c r="D550" s="66"/>
      <c r="E550" s="7"/>
      <c r="F550" s="7"/>
      <c r="G550" s="7"/>
      <c r="H550" s="7"/>
      <c r="I550" s="7"/>
      <c r="J550" s="7"/>
      <c r="K550" s="7"/>
      <c r="L550" s="7"/>
      <c r="M550" s="7"/>
      <c r="N550" s="7"/>
      <c r="O550" s="7"/>
      <c r="P550" s="7"/>
      <c r="Q550" s="7"/>
      <c r="R550" s="7"/>
      <c r="S550" s="7"/>
      <c r="T550" s="7"/>
      <c r="U550" s="7"/>
      <c r="V550" s="7"/>
    </row>
    <row r="551" spans="1:22" ht="12.75" customHeight="1">
      <c r="A551" s="7"/>
      <c r="B551" s="7"/>
      <c r="C551" s="8"/>
      <c r="D551" s="66"/>
      <c r="E551" s="7"/>
      <c r="F551" s="7"/>
      <c r="G551" s="7"/>
      <c r="H551" s="7"/>
      <c r="I551" s="7"/>
      <c r="J551" s="7"/>
      <c r="K551" s="7"/>
      <c r="L551" s="7"/>
      <c r="M551" s="7"/>
      <c r="N551" s="7"/>
      <c r="O551" s="7"/>
      <c r="P551" s="7"/>
      <c r="Q551" s="7"/>
      <c r="R551" s="7"/>
      <c r="S551" s="7"/>
      <c r="T551" s="7"/>
      <c r="U551" s="7"/>
      <c r="V551" s="7"/>
    </row>
    <row r="552" spans="1:22" ht="12.75" customHeight="1">
      <c r="A552" s="7"/>
      <c r="B552" s="7"/>
      <c r="C552" s="8"/>
      <c r="D552" s="66"/>
      <c r="E552" s="7"/>
      <c r="F552" s="7"/>
      <c r="G552" s="7"/>
      <c r="H552" s="7"/>
      <c r="I552" s="7"/>
      <c r="J552" s="7"/>
      <c r="K552" s="7"/>
      <c r="L552" s="7"/>
      <c r="M552" s="7"/>
      <c r="N552" s="7"/>
      <c r="O552" s="7"/>
      <c r="P552" s="7"/>
      <c r="Q552" s="7"/>
      <c r="R552" s="7"/>
      <c r="S552" s="7"/>
      <c r="T552" s="7"/>
      <c r="U552" s="7"/>
      <c r="V552" s="7"/>
    </row>
    <row r="553" spans="1:22" ht="12.75" customHeight="1">
      <c r="A553" s="7"/>
      <c r="B553" s="7"/>
      <c r="C553" s="8"/>
      <c r="D553" s="66"/>
      <c r="E553" s="7"/>
      <c r="F553" s="7"/>
      <c r="G553" s="7"/>
      <c r="H553" s="7"/>
      <c r="I553" s="7"/>
      <c r="J553" s="7"/>
      <c r="K553" s="7"/>
      <c r="L553" s="7"/>
      <c r="M553" s="7"/>
      <c r="N553" s="7"/>
      <c r="O553" s="7"/>
      <c r="P553" s="7"/>
      <c r="Q553" s="7"/>
      <c r="R553" s="7"/>
      <c r="S553" s="7"/>
      <c r="T553" s="7"/>
      <c r="U553" s="7"/>
      <c r="V553" s="7"/>
    </row>
    <row r="554" spans="1:22" ht="12.75" customHeight="1">
      <c r="A554" s="7"/>
      <c r="B554" s="7"/>
      <c r="C554" s="8"/>
      <c r="D554" s="66"/>
      <c r="E554" s="7"/>
      <c r="F554" s="7"/>
      <c r="G554" s="7"/>
      <c r="H554" s="7"/>
      <c r="I554" s="7"/>
      <c r="J554" s="7"/>
      <c r="K554" s="7"/>
      <c r="L554" s="7"/>
      <c r="M554" s="7"/>
      <c r="N554" s="7"/>
      <c r="O554" s="7"/>
      <c r="P554" s="7"/>
      <c r="Q554" s="7"/>
      <c r="R554" s="7"/>
      <c r="S554" s="7"/>
      <c r="T554" s="7"/>
      <c r="U554" s="7"/>
      <c r="V554" s="7"/>
    </row>
    <row r="555" spans="1:22" ht="12.75" customHeight="1">
      <c r="A555" s="7"/>
      <c r="B555" s="7"/>
      <c r="C555" s="8"/>
      <c r="D555" s="66"/>
      <c r="E555" s="7"/>
      <c r="F555" s="7"/>
      <c r="G555" s="7"/>
      <c r="H555" s="7"/>
      <c r="I555" s="7"/>
      <c r="J555" s="7"/>
      <c r="K555" s="7"/>
      <c r="L555" s="7"/>
      <c r="M555" s="7"/>
      <c r="N555" s="7"/>
      <c r="O555" s="7"/>
      <c r="P555" s="7"/>
      <c r="Q555" s="7"/>
      <c r="R555" s="7"/>
      <c r="S555" s="7"/>
      <c r="T555" s="7"/>
      <c r="U555" s="7"/>
      <c r="V555" s="7"/>
    </row>
    <row r="556" spans="1:22" ht="12.75" customHeight="1">
      <c r="A556" s="7"/>
      <c r="B556" s="7"/>
      <c r="C556" s="8"/>
      <c r="D556" s="66"/>
      <c r="E556" s="7"/>
      <c r="F556" s="7"/>
      <c r="G556" s="7"/>
      <c r="H556" s="7"/>
      <c r="I556" s="7"/>
      <c r="J556" s="7"/>
      <c r="K556" s="7"/>
      <c r="L556" s="7"/>
      <c r="M556" s="7"/>
      <c r="N556" s="7"/>
      <c r="O556" s="7"/>
      <c r="P556" s="7"/>
      <c r="Q556" s="7"/>
      <c r="R556" s="7"/>
      <c r="S556" s="7"/>
      <c r="T556" s="7"/>
      <c r="U556" s="7"/>
      <c r="V556" s="7"/>
    </row>
    <row r="557" spans="1:22" ht="12.75" customHeight="1">
      <c r="A557" s="7"/>
      <c r="B557" s="7"/>
      <c r="C557" s="8"/>
      <c r="D557" s="66"/>
      <c r="E557" s="7"/>
      <c r="F557" s="7"/>
      <c r="G557" s="7"/>
      <c r="H557" s="7"/>
      <c r="I557" s="7"/>
      <c r="J557" s="7"/>
      <c r="K557" s="7"/>
      <c r="L557" s="7"/>
      <c r="M557" s="7"/>
      <c r="N557" s="7"/>
      <c r="O557" s="7"/>
      <c r="P557" s="7"/>
      <c r="Q557" s="7"/>
      <c r="R557" s="7"/>
      <c r="S557" s="7"/>
      <c r="T557" s="7"/>
      <c r="U557" s="7"/>
      <c r="V557" s="7"/>
    </row>
    <row r="558" spans="1:22" ht="12.75" customHeight="1">
      <c r="A558" s="7"/>
      <c r="B558" s="7"/>
      <c r="C558" s="8"/>
      <c r="D558" s="66"/>
      <c r="E558" s="7"/>
      <c r="F558" s="7"/>
      <c r="G558" s="7"/>
      <c r="H558" s="7"/>
      <c r="I558" s="7"/>
      <c r="J558" s="7"/>
      <c r="K558" s="7"/>
      <c r="L558" s="7"/>
      <c r="M558" s="7"/>
      <c r="N558" s="7"/>
      <c r="O558" s="7"/>
      <c r="P558" s="7"/>
      <c r="Q558" s="7"/>
      <c r="R558" s="7"/>
      <c r="S558" s="7"/>
      <c r="T558" s="7"/>
      <c r="U558" s="7"/>
      <c r="V558" s="7"/>
    </row>
    <row r="559" spans="1:22" ht="12.75" customHeight="1">
      <c r="A559" s="7"/>
      <c r="B559" s="7"/>
      <c r="C559" s="8"/>
      <c r="D559" s="66"/>
      <c r="E559" s="7"/>
      <c r="F559" s="7"/>
      <c r="G559" s="7"/>
      <c r="H559" s="7"/>
      <c r="I559" s="7"/>
      <c r="J559" s="7"/>
      <c r="K559" s="7"/>
      <c r="L559" s="7"/>
      <c r="M559" s="7"/>
      <c r="N559" s="7"/>
      <c r="O559" s="7"/>
      <c r="P559" s="7"/>
      <c r="Q559" s="7"/>
      <c r="R559" s="7"/>
      <c r="S559" s="7"/>
      <c r="T559" s="7"/>
      <c r="U559" s="7"/>
      <c r="V559" s="7"/>
    </row>
    <row r="560" spans="1:22" ht="12.75" customHeight="1">
      <c r="A560" s="7"/>
      <c r="B560" s="7"/>
      <c r="C560" s="8"/>
      <c r="D560" s="66"/>
      <c r="E560" s="7"/>
      <c r="F560" s="7"/>
      <c r="G560" s="7"/>
      <c r="H560" s="7"/>
      <c r="I560" s="7"/>
      <c r="J560" s="7"/>
      <c r="K560" s="7"/>
      <c r="L560" s="7"/>
      <c r="M560" s="7"/>
      <c r="N560" s="7"/>
      <c r="O560" s="7"/>
      <c r="P560" s="7"/>
      <c r="Q560" s="7"/>
      <c r="R560" s="7"/>
      <c r="S560" s="7"/>
      <c r="T560" s="7"/>
      <c r="U560" s="7"/>
      <c r="V560" s="7"/>
    </row>
    <row r="561" spans="1:22" ht="12.75" customHeight="1">
      <c r="A561" s="7"/>
      <c r="B561" s="7"/>
      <c r="C561" s="8"/>
      <c r="D561" s="66"/>
      <c r="E561" s="7"/>
      <c r="F561" s="7"/>
      <c r="G561" s="7"/>
      <c r="H561" s="7"/>
      <c r="I561" s="7"/>
      <c r="J561" s="7"/>
      <c r="K561" s="7"/>
      <c r="L561" s="7"/>
      <c r="M561" s="7"/>
      <c r="N561" s="7"/>
      <c r="O561" s="7"/>
      <c r="P561" s="7"/>
      <c r="Q561" s="7"/>
      <c r="R561" s="7"/>
      <c r="S561" s="7"/>
      <c r="T561" s="7"/>
      <c r="U561" s="7"/>
      <c r="V561" s="7"/>
    </row>
    <row r="562" spans="1:22" ht="12.75" customHeight="1">
      <c r="A562" s="7"/>
      <c r="B562" s="7"/>
      <c r="C562" s="8"/>
      <c r="D562" s="66"/>
      <c r="E562" s="7"/>
      <c r="F562" s="7"/>
      <c r="G562" s="7"/>
      <c r="H562" s="7"/>
      <c r="I562" s="7"/>
      <c r="J562" s="7"/>
      <c r="K562" s="7"/>
      <c r="L562" s="7"/>
      <c r="M562" s="7"/>
      <c r="N562" s="7"/>
      <c r="O562" s="7"/>
      <c r="P562" s="7"/>
      <c r="Q562" s="7"/>
      <c r="R562" s="7"/>
      <c r="S562" s="7"/>
      <c r="T562" s="7"/>
      <c r="U562" s="7"/>
      <c r="V562" s="7"/>
    </row>
    <row r="563" spans="1:22" ht="12.75" customHeight="1">
      <c r="A563" s="7"/>
      <c r="B563" s="7"/>
      <c r="C563" s="8"/>
      <c r="D563" s="66"/>
      <c r="E563" s="7"/>
      <c r="F563" s="7"/>
      <c r="G563" s="7"/>
      <c r="H563" s="7"/>
      <c r="I563" s="7"/>
      <c r="J563" s="7"/>
      <c r="K563" s="7"/>
      <c r="L563" s="7"/>
      <c r="M563" s="7"/>
      <c r="N563" s="7"/>
      <c r="O563" s="7"/>
      <c r="P563" s="7"/>
      <c r="Q563" s="7"/>
      <c r="R563" s="7"/>
      <c r="S563" s="7"/>
      <c r="T563" s="7"/>
      <c r="U563" s="7"/>
      <c r="V563" s="7"/>
    </row>
    <row r="564" spans="1:22" ht="12.75" customHeight="1">
      <c r="A564" s="7"/>
      <c r="B564" s="7"/>
      <c r="C564" s="8"/>
      <c r="D564" s="66"/>
      <c r="E564" s="7"/>
      <c r="F564" s="7"/>
      <c r="G564" s="7"/>
      <c r="H564" s="7"/>
      <c r="I564" s="7"/>
      <c r="J564" s="7"/>
      <c r="K564" s="7"/>
      <c r="L564" s="7"/>
      <c r="M564" s="7"/>
      <c r="N564" s="7"/>
      <c r="O564" s="7"/>
      <c r="P564" s="7"/>
      <c r="Q564" s="7"/>
      <c r="R564" s="7"/>
      <c r="S564" s="7"/>
      <c r="T564" s="7"/>
      <c r="U564" s="7"/>
      <c r="V564" s="7"/>
    </row>
    <row r="565" spans="1:22" ht="12.75" customHeight="1">
      <c r="A565" s="7"/>
      <c r="B565" s="7"/>
      <c r="C565" s="8"/>
      <c r="D565" s="66"/>
      <c r="E565" s="7"/>
      <c r="F565" s="7"/>
      <c r="G565" s="7"/>
      <c r="H565" s="7"/>
      <c r="I565" s="7"/>
      <c r="J565" s="7"/>
      <c r="K565" s="7"/>
      <c r="L565" s="7"/>
      <c r="M565" s="7"/>
      <c r="N565" s="7"/>
      <c r="O565" s="7"/>
      <c r="P565" s="7"/>
      <c r="Q565" s="7"/>
      <c r="R565" s="7"/>
      <c r="S565" s="7"/>
      <c r="T565" s="7"/>
      <c r="U565" s="7"/>
      <c r="V565" s="7"/>
    </row>
    <row r="566" spans="1:22" ht="12.75" customHeight="1">
      <c r="A566" s="7"/>
      <c r="B566" s="7"/>
      <c r="C566" s="8"/>
      <c r="D566" s="66"/>
      <c r="E566" s="7"/>
      <c r="F566" s="7"/>
      <c r="G566" s="7"/>
      <c r="H566" s="7"/>
      <c r="I566" s="7"/>
      <c r="J566" s="7"/>
      <c r="K566" s="7"/>
      <c r="L566" s="7"/>
      <c r="M566" s="7"/>
      <c r="N566" s="7"/>
      <c r="O566" s="7"/>
      <c r="P566" s="7"/>
      <c r="Q566" s="7"/>
      <c r="R566" s="7"/>
      <c r="S566" s="7"/>
      <c r="T566" s="7"/>
      <c r="U566" s="7"/>
      <c r="V566" s="7"/>
    </row>
    <row r="567" spans="1:22" ht="12.75" customHeight="1">
      <c r="A567" s="7"/>
      <c r="B567" s="7"/>
      <c r="C567" s="8"/>
      <c r="D567" s="66"/>
      <c r="E567" s="7"/>
      <c r="F567" s="7"/>
      <c r="G567" s="7"/>
      <c r="H567" s="7"/>
      <c r="I567" s="7"/>
      <c r="J567" s="7"/>
      <c r="K567" s="7"/>
      <c r="L567" s="7"/>
      <c r="M567" s="7"/>
      <c r="N567" s="7"/>
      <c r="O567" s="7"/>
      <c r="P567" s="7"/>
      <c r="Q567" s="7"/>
      <c r="R567" s="7"/>
      <c r="S567" s="7"/>
      <c r="T567" s="7"/>
      <c r="U567" s="7"/>
      <c r="V567" s="7"/>
    </row>
    <row r="568" spans="1:22" ht="12.75" customHeight="1">
      <c r="A568" s="7"/>
      <c r="B568" s="7"/>
      <c r="C568" s="8"/>
      <c r="D568" s="66"/>
      <c r="E568" s="7"/>
      <c r="F568" s="7"/>
      <c r="G568" s="7"/>
      <c r="H568" s="7"/>
      <c r="I568" s="7"/>
      <c r="J568" s="7"/>
      <c r="K568" s="7"/>
      <c r="L568" s="7"/>
      <c r="M568" s="7"/>
      <c r="N568" s="7"/>
      <c r="O568" s="7"/>
      <c r="P568" s="7"/>
      <c r="Q568" s="7"/>
      <c r="R568" s="7"/>
      <c r="S568" s="7"/>
      <c r="T568" s="7"/>
      <c r="U568" s="7"/>
      <c r="V568" s="7"/>
    </row>
    <row r="569" spans="1:22" ht="12.75" customHeight="1">
      <c r="A569" s="7"/>
      <c r="B569" s="7"/>
      <c r="C569" s="8"/>
      <c r="D569" s="66"/>
      <c r="E569" s="7"/>
      <c r="F569" s="7"/>
      <c r="G569" s="7"/>
      <c r="H569" s="7"/>
      <c r="I569" s="7"/>
      <c r="J569" s="7"/>
      <c r="K569" s="7"/>
      <c r="L569" s="7"/>
      <c r="M569" s="7"/>
      <c r="N569" s="7"/>
      <c r="O569" s="7"/>
      <c r="P569" s="7"/>
      <c r="Q569" s="7"/>
      <c r="R569" s="7"/>
      <c r="S569" s="7"/>
      <c r="T569" s="7"/>
      <c r="U569" s="7"/>
      <c r="V569" s="7"/>
    </row>
    <row r="570" spans="1:22" ht="12.75" customHeight="1">
      <c r="A570" s="7"/>
      <c r="B570" s="7"/>
      <c r="C570" s="8"/>
      <c r="D570" s="66"/>
      <c r="E570" s="7"/>
      <c r="F570" s="7"/>
      <c r="G570" s="7"/>
      <c r="H570" s="7"/>
      <c r="I570" s="7"/>
      <c r="J570" s="7"/>
      <c r="K570" s="7"/>
      <c r="L570" s="7"/>
      <c r="M570" s="7"/>
      <c r="N570" s="7"/>
      <c r="O570" s="7"/>
      <c r="P570" s="7"/>
      <c r="Q570" s="7"/>
      <c r="R570" s="7"/>
      <c r="S570" s="7"/>
      <c r="T570" s="7"/>
      <c r="U570" s="7"/>
      <c r="V570" s="7"/>
    </row>
    <row r="571" spans="1:22" ht="12.75" customHeight="1">
      <c r="A571" s="7"/>
      <c r="B571" s="7"/>
      <c r="C571" s="8"/>
      <c r="D571" s="66"/>
      <c r="E571" s="7"/>
      <c r="F571" s="7"/>
      <c r="G571" s="7"/>
      <c r="H571" s="7"/>
      <c r="I571" s="7"/>
      <c r="J571" s="7"/>
      <c r="K571" s="7"/>
      <c r="L571" s="7"/>
      <c r="M571" s="7"/>
      <c r="N571" s="7"/>
      <c r="O571" s="7"/>
      <c r="P571" s="7"/>
      <c r="Q571" s="7"/>
      <c r="R571" s="7"/>
      <c r="S571" s="7"/>
      <c r="T571" s="7"/>
      <c r="U571" s="7"/>
      <c r="V571" s="7"/>
    </row>
    <row r="572" spans="1:22" ht="12.75" customHeight="1">
      <c r="A572" s="7"/>
      <c r="B572" s="7"/>
      <c r="C572" s="8"/>
      <c r="D572" s="66"/>
      <c r="E572" s="7"/>
      <c r="F572" s="7"/>
      <c r="G572" s="7"/>
      <c r="H572" s="7"/>
      <c r="I572" s="7"/>
      <c r="J572" s="7"/>
      <c r="K572" s="7"/>
      <c r="L572" s="7"/>
      <c r="M572" s="7"/>
      <c r="N572" s="7"/>
      <c r="O572" s="7"/>
      <c r="P572" s="7"/>
      <c r="Q572" s="7"/>
      <c r="R572" s="7"/>
      <c r="S572" s="7"/>
      <c r="T572" s="7"/>
      <c r="U572" s="7"/>
      <c r="V572" s="7"/>
    </row>
    <row r="573" spans="1:22" ht="12.75" customHeight="1">
      <c r="A573" s="7"/>
      <c r="B573" s="7"/>
      <c r="C573" s="8"/>
      <c r="D573" s="66"/>
      <c r="E573" s="7"/>
      <c r="F573" s="7"/>
      <c r="G573" s="7"/>
      <c r="H573" s="7"/>
      <c r="I573" s="7"/>
      <c r="J573" s="7"/>
      <c r="K573" s="7"/>
      <c r="L573" s="7"/>
      <c r="M573" s="7"/>
      <c r="N573" s="7"/>
      <c r="O573" s="7"/>
      <c r="P573" s="7"/>
      <c r="Q573" s="7"/>
      <c r="R573" s="7"/>
      <c r="S573" s="7"/>
      <c r="T573" s="7"/>
      <c r="U573" s="7"/>
      <c r="V573" s="7"/>
    </row>
    <row r="574" spans="1:22" ht="12.75" customHeight="1">
      <c r="A574" s="7"/>
      <c r="B574" s="7"/>
      <c r="C574" s="8"/>
      <c r="D574" s="66"/>
      <c r="E574" s="7"/>
      <c r="F574" s="7"/>
      <c r="G574" s="7"/>
      <c r="H574" s="7"/>
      <c r="I574" s="7"/>
      <c r="J574" s="7"/>
      <c r="K574" s="7"/>
      <c r="L574" s="7"/>
      <c r="M574" s="7"/>
      <c r="N574" s="7"/>
      <c r="O574" s="7"/>
      <c r="P574" s="7"/>
      <c r="Q574" s="7"/>
      <c r="R574" s="7"/>
      <c r="S574" s="7"/>
      <c r="T574" s="7"/>
      <c r="U574" s="7"/>
      <c r="V574" s="7"/>
    </row>
    <row r="575" spans="1:22" ht="12.75" customHeight="1">
      <c r="A575" s="7"/>
      <c r="B575" s="7"/>
      <c r="C575" s="8"/>
      <c r="D575" s="66"/>
      <c r="E575" s="7"/>
      <c r="F575" s="7"/>
      <c r="G575" s="7"/>
      <c r="H575" s="7"/>
      <c r="I575" s="7"/>
      <c r="J575" s="7"/>
      <c r="K575" s="7"/>
      <c r="L575" s="7"/>
      <c r="M575" s="7"/>
      <c r="N575" s="7"/>
      <c r="O575" s="7"/>
      <c r="P575" s="7"/>
      <c r="Q575" s="7"/>
      <c r="R575" s="7"/>
      <c r="S575" s="7"/>
      <c r="T575" s="7"/>
      <c r="U575" s="7"/>
      <c r="V575" s="7"/>
    </row>
    <row r="576" spans="1:22" ht="12.75" customHeight="1">
      <c r="A576" s="7"/>
      <c r="B576" s="7"/>
      <c r="C576" s="8"/>
      <c r="D576" s="66"/>
      <c r="E576" s="7"/>
      <c r="F576" s="7"/>
      <c r="G576" s="7"/>
      <c r="H576" s="7"/>
      <c r="I576" s="7"/>
      <c r="J576" s="7"/>
      <c r="K576" s="7"/>
      <c r="L576" s="7"/>
      <c r="M576" s="7"/>
      <c r="N576" s="7"/>
      <c r="O576" s="7"/>
      <c r="P576" s="7"/>
      <c r="Q576" s="7"/>
      <c r="R576" s="7"/>
      <c r="S576" s="7"/>
      <c r="T576" s="7"/>
      <c r="U576" s="7"/>
      <c r="V576" s="7"/>
    </row>
    <row r="577" spans="1:22" ht="12.75" customHeight="1">
      <c r="A577" s="7"/>
      <c r="B577" s="7"/>
      <c r="C577" s="8"/>
      <c r="D577" s="66"/>
      <c r="E577" s="7"/>
      <c r="F577" s="7"/>
      <c r="G577" s="7"/>
      <c r="H577" s="7"/>
      <c r="I577" s="7"/>
      <c r="J577" s="7"/>
      <c r="K577" s="7"/>
      <c r="L577" s="7"/>
      <c r="M577" s="7"/>
      <c r="N577" s="7"/>
      <c r="O577" s="7"/>
      <c r="P577" s="7"/>
      <c r="Q577" s="7"/>
      <c r="R577" s="7"/>
      <c r="S577" s="7"/>
      <c r="T577" s="7"/>
      <c r="U577" s="7"/>
      <c r="V577" s="7"/>
    </row>
    <row r="578" spans="1:22" ht="12.75" customHeight="1">
      <c r="A578" s="7"/>
      <c r="B578" s="7"/>
      <c r="C578" s="8"/>
      <c r="D578" s="66"/>
      <c r="E578" s="7"/>
      <c r="F578" s="7"/>
      <c r="G578" s="7"/>
      <c r="H578" s="7"/>
      <c r="I578" s="7"/>
      <c r="J578" s="7"/>
      <c r="K578" s="7"/>
      <c r="L578" s="7"/>
      <c r="M578" s="7"/>
      <c r="N578" s="7"/>
      <c r="O578" s="7"/>
      <c r="P578" s="7"/>
      <c r="Q578" s="7"/>
      <c r="R578" s="7"/>
      <c r="S578" s="7"/>
      <c r="T578" s="7"/>
      <c r="U578" s="7"/>
      <c r="V578" s="7"/>
    </row>
    <row r="579" spans="1:22" ht="12.75" customHeight="1">
      <c r="A579" s="7"/>
      <c r="B579" s="7"/>
      <c r="C579" s="8"/>
      <c r="D579" s="66"/>
      <c r="E579" s="7"/>
      <c r="F579" s="7"/>
      <c r="G579" s="7"/>
      <c r="H579" s="7"/>
      <c r="I579" s="7"/>
      <c r="J579" s="7"/>
      <c r="K579" s="7"/>
      <c r="L579" s="7"/>
      <c r="M579" s="7"/>
      <c r="N579" s="7"/>
      <c r="O579" s="7"/>
      <c r="P579" s="7"/>
      <c r="Q579" s="7"/>
      <c r="R579" s="7"/>
      <c r="S579" s="7"/>
      <c r="T579" s="7"/>
      <c r="U579" s="7"/>
      <c r="V579" s="7"/>
    </row>
    <row r="580" spans="1:22" ht="12.75" customHeight="1">
      <c r="A580" s="7"/>
      <c r="B580" s="7"/>
      <c r="C580" s="8"/>
      <c r="D580" s="66"/>
      <c r="E580" s="7"/>
      <c r="F580" s="7"/>
      <c r="G580" s="7"/>
      <c r="H580" s="7"/>
      <c r="I580" s="7"/>
      <c r="J580" s="7"/>
      <c r="K580" s="7"/>
      <c r="L580" s="7"/>
      <c r="M580" s="7"/>
      <c r="N580" s="7"/>
      <c r="O580" s="7"/>
      <c r="P580" s="7"/>
      <c r="Q580" s="7"/>
      <c r="R580" s="7"/>
      <c r="S580" s="7"/>
      <c r="T580" s="7"/>
      <c r="U580" s="7"/>
      <c r="V580" s="7"/>
    </row>
    <row r="581" spans="1:22" ht="12.75" customHeight="1">
      <c r="A581" s="7"/>
      <c r="B581" s="7"/>
      <c r="C581" s="8"/>
      <c r="D581" s="66"/>
      <c r="E581" s="7"/>
      <c r="F581" s="7"/>
      <c r="G581" s="7"/>
      <c r="H581" s="7"/>
      <c r="I581" s="7"/>
      <c r="J581" s="7"/>
      <c r="K581" s="7"/>
      <c r="L581" s="7"/>
      <c r="M581" s="7"/>
      <c r="N581" s="7"/>
      <c r="O581" s="7"/>
      <c r="P581" s="7"/>
      <c r="Q581" s="7"/>
      <c r="R581" s="7"/>
      <c r="S581" s="7"/>
      <c r="T581" s="7"/>
      <c r="U581" s="7"/>
      <c r="V581" s="7"/>
    </row>
    <row r="582" spans="1:22" ht="12.75" customHeight="1">
      <c r="A582" s="7"/>
      <c r="B582" s="7"/>
      <c r="C582" s="8"/>
      <c r="D582" s="66"/>
      <c r="E582" s="7"/>
      <c r="F582" s="7"/>
      <c r="G582" s="7"/>
      <c r="H582" s="7"/>
      <c r="I582" s="7"/>
      <c r="J582" s="7"/>
      <c r="K582" s="7"/>
      <c r="L582" s="7"/>
      <c r="M582" s="7"/>
      <c r="N582" s="7"/>
      <c r="O582" s="7"/>
      <c r="P582" s="7"/>
      <c r="Q582" s="7"/>
      <c r="R582" s="7"/>
      <c r="S582" s="7"/>
      <c r="T582" s="7"/>
      <c r="U582" s="7"/>
      <c r="V582" s="7"/>
    </row>
    <row r="583" spans="1:22" ht="12.75" customHeight="1">
      <c r="A583" s="7"/>
      <c r="B583" s="7"/>
      <c r="C583" s="8"/>
      <c r="D583" s="66"/>
      <c r="E583" s="7"/>
      <c r="F583" s="7"/>
      <c r="G583" s="7"/>
      <c r="H583" s="7"/>
      <c r="I583" s="7"/>
      <c r="J583" s="7"/>
      <c r="K583" s="7"/>
      <c r="L583" s="7"/>
      <c r="M583" s="7"/>
      <c r="N583" s="7"/>
      <c r="O583" s="7"/>
      <c r="P583" s="7"/>
      <c r="Q583" s="7"/>
      <c r="R583" s="7"/>
      <c r="S583" s="7"/>
      <c r="T583" s="7"/>
      <c r="U583" s="7"/>
      <c r="V583" s="7"/>
    </row>
    <row r="584" spans="1:22" ht="12.75" customHeight="1">
      <c r="A584" s="7"/>
      <c r="B584" s="7"/>
      <c r="C584" s="8"/>
      <c r="D584" s="66"/>
      <c r="E584" s="7"/>
      <c r="F584" s="7"/>
      <c r="G584" s="7"/>
      <c r="H584" s="7"/>
      <c r="I584" s="7"/>
      <c r="J584" s="7"/>
      <c r="K584" s="7"/>
      <c r="L584" s="7"/>
      <c r="M584" s="7"/>
      <c r="N584" s="7"/>
      <c r="O584" s="7"/>
      <c r="P584" s="7"/>
      <c r="Q584" s="7"/>
      <c r="R584" s="7"/>
      <c r="S584" s="7"/>
      <c r="T584" s="7"/>
      <c r="U584" s="7"/>
      <c r="V584" s="7"/>
    </row>
    <row r="585" spans="1:22" ht="12.75" customHeight="1">
      <c r="A585" s="7"/>
      <c r="B585" s="7"/>
      <c r="C585" s="8"/>
      <c r="D585" s="66"/>
      <c r="E585" s="7"/>
      <c r="F585" s="7"/>
      <c r="G585" s="7"/>
      <c r="H585" s="7"/>
      <c r="I585" s="7"/>
      <c r="J585" s="7"/>
      <c r="K585" s="7"/>
      <c r="L585" s="7"/>
      <c r="M585" s="7"/>
      <c r="N585" s="7"/>
      <c r="O585" s="7"/>
      <c r="P585" s="7"/>
      <c r="Q585" s="7"/>
      <c r="R585" s="7"/>
      <c r="S585" s="7"/>
      <c r="T585" s="7"/>
      <c r="U585" s="7"/>
      <c r="V585" s="7"/>
    </row>
    <row r="586" spans="1:22" ht="12.75" customHeight="1">
      <c r="A586" s="7"/>
      <c r="B586" s="7"/>
      <c r="C586" s="8"/>
      <c r="D586" s="66"/>
      <c r="E586" s="7"/>
      <c r="F586" s="7"/>
      <c r="G586" s="7"/>
      <c r="H586" s="7"/>
      <c r="I586" s="7"/>
      <c r="J586" s="7"/>
      <c r="K586" s="7"/>
      <c r="L586" s="7"/>
      <c r="M586" s="7"/>
      <c r="N586" s="7"/>
      <c r="O586" s="7"/>
      <c r="P586" s="7"/>
      <c r="Q586" s="7"/>
      <c r="R586" s="7"/>
      <c r="S586" s="7"/>
      <c r="T586" s="7"/>
      <c r="U586" s="7"/>
      <c r="V586" s="7"/>
    </row>
    <row r="587" spans="1:22" ht="12.75" customHeight="1">
      <c r="A587" s="7"/>
      <c r="B587" s="7"/>
      <c r="C587" s="8"/>
      <c r="D587" s="66"/>
      <c r="E587" s="7"/>
      <c r="F587" s="7"/>
      <c r="G587" s="7"/>
      <c r="H587" s="7"/>
      <c r="I587" s="7"/>
      <c r="J587" s="7"/>
      <c r="K587" s="7"/>
      <c r="L587" s="7"/>
      <c r="M587" s="7"/>
      <c r="N587" s="7"/>
      <c r="O587" s="7"/>
      <c r="P587" s="7"/>
      <c r="Q587" s="7"/>
      <c r="R587" s="7"/>
      <c r="S587" s="7"/>
      <c r="T587" s="7"/>
      <c r="U587" s="7"/>
      <c r="V587" s="7"/>
    </row>
    <row r="588" spans="1:22" ht="12.75" customHeight="1">
      <c r="A588" s="7"/>
      <c r="B588" s="7"/>
      <c r="C588" s="8"/>
      <c r="D588" s="66"/>
      <c r="E588" s="7"/>
      <c r="F588" s="7"/>
      <c r="G588" s="7"/>
      <c r="H588" s="7"/>
      <c r="I588" s="7"/>
      <c r="J588" s="7"/>
      <c r="K588" s="7"/>
      <c r="L588" s="7"/>
      <c r="M588" s="7"/>
      <c r="N588" s="7"/>
      <c r="O588" s="7"/>
      <c r="P588" s="7"/>
      <c r="Q588" s="7"/>
      <c r="R588" s="7"/>
      <c r="S588" s="7"/>
      <c r="T588" s="7"/>
      <c r="U588" s="7"/>
      <c r="V588" s="7"/>
    </row>
    <row r="589" spans="1:22" ht="12.75" customHeight="1">
      <c r="A589" s="7"/>
      <c r="B589" s="7"/>
      <c r="C589" s="8"/>
      <c r="D589" s="66"/>
      <c r="E589" s="7"/>
      <c r="F589" s="7"/>
      <c r="G589" s="7"/>
      <c r="H589" s="7"/>
      <c r="I589" s="7"/>
      <c r="J589" s="7"/>
      <c r="K589" s="7"/>
      <c r="L589" s="7"/>
      <c r="M589" s="7"/>
      <c r="N589" s="7"/>
      <c r="O589" s="7"/>
      <c r="P589" s="7"/>
      <c r="Q589" s="7"/>
      <c r="R589" s="7"/>
      <c r="S589" s="7"/>
      <c r="T589" s="7"/>
      <c r="U589" s="7"/>
      <c r="V589" s="7"/>
    </row>
    <row r="590" spans="1:22" ht="12.75" customHeight="1">
      <c r="A590" s="7"/>
      <c r="B590" s="7"/>
      <c r="C590" s="8"/>
      <c r="D590" s="66"/>
      <c r="E590" s="7"/>
      <c r="F590" s="7"/>
      <c r="G590" s="7"/>
      <c r="H590" s="7"/>
      <c r="I590" s="7"/>
      <c r="J590" s="7"/>
      <c r="K590" s="7"/>
      <c r="L590" s="7"/>
      <c r="M590" s="7"/>
      <c r="N590" s="7"/>
      <c r="O590" s="7"/>
      <c r="P590" s="7"/>
      <c r="Q590" s="7"/>
      <c r="R590" s="7"/>
      <c r="S590" s="7"/>
      <c r="T590" s="7"/>
      <c r="U590" s="7"/>
      <c r="V590" s="7"/>
    </row>
    <row r="591" spans="1:22" ht="12.75" customHeight="1">
      <c r="A591" s="7"/>
      <c r="B591" s="7"/>
      <c r="C591" s="8"/>
      <c r="D591" s="66"/>
      <c r="E591" s="7"/>
      <c r="F591" s="7"/>
      <c r="G591" s="7"/>
      <c r="H591" s="7"/>
      <c r="I591" s="7"/>
      <c r="J591" s="7"/>
      <c r="K591" s="7"/>
      <c r="L591" s="7"/>
      <c r="M591" s="7"/>
      <c r="N591" s="7"/>
      <c r="O591" s="7"/>
      <c r="P591" s="7"/>
      <c r="Q591" s="7"/>
      <c r="R591" s="7"/>
      <c r="S591" s="7"/>
      <c r="T591" s="7"/>
      <c r="U591" s="7"/>
      <c r="V591" s="7"/>
    </row>
    <row r="592" spans="1:22" ht="12.75" customHeight="1">
      <c r="A592" s="7"/>
      <c r="B592" s="7"/>
      <c r="C592" s="8"/>
      <c r="D592" s="66"/>
      <c r="E592" s="7"/>
      <c r="F592" s="7"/>
      <c r="G592" s="7"/>
      <c r="H592" s="7"/>
      <c r="I592" s="7"/>
      <c r="J592" s="7"/>
      <c r="K592" s="7"/>
      <c r="L592" s="7"/>
      <c r="M592" s="7"/>
      <c r="N592" s="7"/>
      <c r="O592" s="7"/>
      <c r="P592" s="7"/>
      <c r="Q592" s="7"/>
      <c r="R592" s="7"/>
      <c r="S592" s="7"/>
      <c r="T592" s="7"/>
      <c r="U592" s="7"/>
      <c r="V592" s="7"/>
    </row>
    <row r="593" spans="1:22" ht="12.75" customHeight="1">
      <c r="A593" s="7"/>
      <c r="B593" s="7"/>
      <c r="C593" s="8"/>
      <c r="D593" s="66"/>
      <c r="E593" s="7"/>
      <c r="F593" s="7"/>
      <c r="G593" s="7"/>
      <c r="H593" s="7"/>
      <c r="I593" s="7"/>
      <c r="J593" s="7"/>
      <c r="K593" s="7"/>
      <c r="L593" s="7"/>
      <c r="M593" s="7"/>
      <c r="N593" s="7"/>
      <c r="O593" s="7"/>
      <c r="P593" s="7"/>
      <c r="Q593" s="7"/>
      <c r="R593" s="7"/>
      <c r="S593" s="7"/>
      <c r="T593" s="7"/>
      <c r="U593" s="7"/>
      <c r="V593" s="7"/>
    </row>
    <row r="594" spans="1:22" ht="12.75" customHeight="1">
      <c r="A594" s="7"/>
      <c r="B594" s="7"/>
      <c r="C594" s="8"/>
      <c r="D594" s="66"/>
      <c r="E594" s="7"/>
      <c r="F594" s="7"/>
      <c r="G594" s="7"/>
      <c r="H594" s="7"/>
      <c r="I594" s="7"/>
      <c r="J594" s="7"/>
      <c r="K594" s="7"/>
      <c r="L594" s="7"/>
      <c r="M594" s="7"/>
      <c r="N594" s="7"/>
      <c r="O594" s="7"/>
      <c r="P594" s="7"/>
      <c r="Q594" s="7"/>
      <c r="R594" s="7"/>
      <c r="S594" s="7"/>
      <c r="T594" s="7"/>
      <c r="U594" s="7"/>
      <c r="V594" s="7"/>
    </row>
    <row r="595" spans="1:22" ht="12.75" customHeight="1">
      <c r="A595" s="7"/>
      <c r="B595" s="7"/>
      <c r="C595" s="8"/>
      <c r="D595" s="66"/>
      <c r="E595" s="7"/>
      <c r="F595" s="7"/>
      <c r="G595" s="7"/>
      <c r="H595" s="7"/>
      <c r="I595" s="7"/>
      <c r="J595" s="7"/>
      <c r="K595" s="7"/>
      <c r="L595" s="7"/>
      <c r="M595" s="7"/>
      <c r="N595" s="7"/>
      <c r="O595" s="7"/>
      <c r="P595" s="7"/>
      <c r="Q595" s="7"/>
      <c r="R595" s="7"/>
      <c r="S595" s="7"/>
      <c r="T595" s="7"/>
      <c r="U595" s="7"/>
      <c r="V595" s="7"/>
    </row>
    <row r="596" spans="1:22" ht="12.75" customHeight="1">
      <c r="A596" s="7"/>
      <c r="B596" s="7"/>
      <c r="C596" s="8"/>
      <c r="D596" s="66"/>
      <c r="E596" s="7"/>
      <c r="F596" s="7"/>
      <c r="G596" s="7"/>
      <c r="H596" s="7"/>
      <c r="I596" s="7"/>
      <c r="J596" s="7"/>
      <c r="K596" s="7"/>
      <c r="L596" s="7"/>
      <c r="M596" s="7"/>
      <c r="N596" s="7"/>
      <c r="O596" s="7"/>
      <c r="P596" s="7"/>
      <c r="Q596" s="7"/>
      <c r="R596" s="7"/>
      <c r="S596" s="7"/>
      <c r="T596" s="7"/>
      <c r="U596" s="7"/>
      <c r="V596" s="7"/>
    </row>
    <row r="597" spans="1:22" ht="12.75" customHeight="1">
      <c r="A597" s="7"/>
      <c r="B597" s="7"/>
      <c r="C597" s="8"/>
      <c r="D597" s="66"/>
      <c r="E597" s="7"/>
      <c r="F597" s="7"/>
      <c r="G597" s="7"/>
      <c r="H597" s="7"/>
      <c r="I597" s="7"/>
      <c r="J597" s="7"/>
      <c r="K597" s="7"/>
      <c r="L597" s="7"/>
      <c r="M597" s="7"/>
      <c r="N597" s="7"/>
      <c r="O597" s="7"/>
      <c r="P597" s="7"/>
      <c r="Q597" s="7"/>
      <c r="R597" s="7"/>
      <c r="S597" s="7"/>
      <c r="T597" s="7"/>
      <c r="U597" s="7"/>
      <c r="V597" s="7"/>
    </row>
    <row r="598" spans="1:22" ht="12.75" customHeight="1">
      <c r="A598" s="7"/>
      <c r="B598" s="7"/>
      <c r="C598" s="8"/>
      <c r="D598" s="66"/>
      <c r="E598" s="7"/>
      <c r="F598" s="7"/>
      <c r="G598" s="7"/>
      <c r="H598" s="7"/>
      <c r="I598" s="7"/>
      <c r="J598" s="7"/>
      <c r="K598" s="7"/>
      <c r="L598" s="7"/>
      <c r="M598" s="7"/>
      <c r="N598" s="7"/>
      <c r="O598" s="7"/>
      <c r="P598" s="7"/>
      <c r="Q598" s="7"/>
      <c r="R598" s="7"/>
      <c r="S598" s="7"/>
      <c r="T598" s="7"/>
      <c r="U598" s="7"/>
      <c r="V598" s="7"/>
    </row>
    <row r="599" spans="1:22" ht="12.75" customHeight="1">
      <c r="A599" s="7"/>
      <c r="B599" s="7"/>
      <c r="C599" s="8"/>
      <c r="D599" s="66"/>
      <c r="E599" s="7"/>
      <c r="F599" s="7"/>
      <c r="G599" s="7"/>
      <c r="H599" s="7"/>
      <c r="I599" s="7"/>
      <c r="J599" s="7"/>
      <c r="K599" s="7"/>
      <c r="L599" s="7"/>
      <c r="M599" s="7"/>
      <c r="N599" s="7"/>
      <c r="O599" s="7"/>
      <c r="P599" s="7"/>
      <c r="Q599" s="7"/>
      <c r="R599" s="7"/>
      <c r="S599" s="7"/>
      <c r="T599" s="7"/>
      <c r="U599" s="7"/>
      <c r="V599" s="7"/>
    </row>
    <row r="600" spans="1:22" ht="12.75" customHeight="1">
      <c r="A600" s="7"/>
      <c r="B600" s="7"/>
      <c r="C600" s="8"/>
      <c r="D600" s="66"/>
      <c r="E600" s="7"/>
      <c r="F600" s="7"/>
      <c r="G600" s="7"/>
      <c r="H600" s="7"/>
      <c r="I600" s="7"/>
      <c r="J600" s="7"/>
      <c r="K600" s="7"/>
      <c r="L600" s="7"/>
      <c r="M600" s="7"/>
      <c r="N600" s="7"/>
      <c r="O600" s="7"/>
      <c r="P600" s="7"/>
      <c r="Q600" s="7"/>
      <c r="R600" s="7"/>
      <c r="S600" s="7"/>
      <c r="T600" s="7"/>
      <c r="U600" s="7"/>
      <c r="V600" s="7"/>
    </row>
    <row r="601" spans="1:22" ht="12.75" customHeight="1">
      <c r="A601" s="7"/>
      <c r="B601" s="7"/>
      <c r="C601" s="8"/>
      <c r="D601" s="66"/>
      <c r="E601" s="7"/>
      <c r="F601" s="7"/>
      <c r="G601" s="7"/>
      <c r="H601" s="7"/>
      <c r="I601" s="7"/>
      <c r="J601" s="7"/>
      <c r="K601" s="7"/>
      <c r="L601" s="7"/>
      <c r="M601" s="7"/>
      <c r="N601" s="7"/>
      <c r="O601" s="7"/>
      <c r="P601" s="7"/>
      <c r="Q601" s="7"/>
      <c r="R601" s="7"/>
      <c r="S601" s="7"/>
      <c r="T601" s="7"/>
      <c r="U601" s="7"/>
      <c r="V601" s="7"/>
    </row>
    <row r="602" spans="1:22" ht="12.75" customHeight="1">
      <c r="A602" s="7"/>
      <c r="B602" s="7"/>
      <c r="C602" s="8"/>
      <c r="D602" s="66"/>
      <c r="E602" s="7"/>
      <c r="F602" s="7"/>
      <c r="G602" s="7"/>
      <c r="H602" s="7"/>
      <c r="I602" s="7"/>
      <c r="J602" s="7"/>
      <c r="K602" s="7"/>
      <c r="L602" s="7"/>
      <c r="M602" s="7"/>
      <c r="N602" s="7"/>
      <c r="O602" s="7"/>
      <c r="P602" s="7"/>
      <c r="Q602" s="7"/>
      <c r="R602" s="7"/>
      <c r="S602" s="7"/>
      <c r="T602" s="7"/>
      <c r="U602" s="7"/>
      <c r="V602" s="7"/>
    </row>
    <row r="603" spans="1:22" ht="12.75" customHeight="1">
      <c r="A603" s="7"/>
      <c r="B603" s="7"/>
      <c r="C603" s="8"/>
      <c r="D603" s="66"/>
      <c r="E603" s="7"/>
      <c r="F603" s="7"/>
      <c r="G603" s="7"/>
      <c r="H603" s="7"/>
      <c r="I603" s="7"/>
      <c r="J603" s="7"/>
      <c r="K603" s="7"/>
      <c r="L603" s="7"/>
      <c r="M603" s="7"/>
      <c r="N603" s="7"/>
      <c r="O603" s="7"/>
      <c r="P603" s="7"/>
      <c r="Q603" s="7"/>
      <c r="R603" s="7"/>
      <c r="S603" s="7"/>
      <c r="T603" s="7"/>
      <c r="U603" s="7"/>
      <c r="V603" s="7"/>
    </row>
    <row r="604" spans="1:22" ht="12.75" customHeight="1">
      <c r="A604" s="7"/>
      <c r="B604" s="7"/>
      <c r="C604" s="8"/>
      <c r="D604" s="66"/>
      <c r="E604" s="7"/>
      <c r="F604" s="7"/>
      <c r="G604" s="7"/>
      <c r="H604" s="7"/>
      <c r="I604" s="7"/>
      <c r="J604" s="7"/>
      <c r="K604" s="7"/>
      <c r="L604" s="7"/>
      <c r="M604" s="7"/>
      <c r="N604" s="7"/>
      <c r="O604" s="7"/>
      <c r="P604" s="7"/>
      <c r="Q604" s="7"/>
      <c r="R604" s="7"/>
      <c r="S604" s="7"/>
      <c r="T604" s="7"/>
      <c r="U604" s="7"/>
      <c r="V604" s="7"/>
    </row>
    <row r="605" spans="1:22" ht="12.75" customHeight="1">
      <c r="A605" s="7"/>
      <c r="B605" s="7"/>
      <c r="C605" s="8"/>
      <c r="D605" s="66"/>
      <c r="E605" s="7"/>
      <c r="F605" s="7"/>
      <c r="G605" s="7"/>
      <c r="H605" s="7"/>
      <c r="I605" s="7"/>
      <c r="J605" s="7"/>
      <c r="K605" s="7"/>
      <c r="L605" s="7"/>
      <c r="M605" s="7"/>
      <c r="N605" s="7"/>
      <c r="O605" s="7"/>
      <c r="P605" s="7"/>
      <c r="Q605" s="7"/>
      <c r="R605" s="7"/>
      <c r="S605" s="7"/>
      <c r="T605" s="7"/>
      <c r="U605" s="7"/>
      <c r="V605" s="7"/>
    </row>
    <row r="606" spans="1:22" ht="12.75" customHeight="1">
      <c r="A606" s="7"/>
      <c r="B606" s="7"/>
      <c r="C606" s="8"/>
      <c r="D606" s="66"/>
      <c r="E606" s="7"/>
      <c r="F606" s="7"/>
      <c r="G606" s="7"/>
      <c r="H606" s="7"/>
      <c r="I606" s="7"/>
      <c r="J606" s="7"/>
      <c r="K606" s="7"/>
      <c r="L606" s="7"/>
      <c r="M606" s="7"/>
      <c r="N606" s="7"/>
      <c r="O606" s="7"/>
      <c r="P606" s="7"/>
      <c r="Q606" s="7"/>
      <c r="R606" s="7"/>
      <c r="S606" s="7"/>
      <c r="T606" s="7"/>
      <c r="U606" s="7"/>
      <c r="V606" s="7"/>
    </row>
    <row r="607" spans="1:22" ht="12.75" customHeight="1">
      <c r="A607" s="7"/>
      <c r="B607" s="7"/>
      <c r="C607" s="8"/>
      <c r="D607" s="66"/>
      <c r="E607" s="7"/>
      <c r="F607" s="7"/>
      <c r="G607" s="7"/>
      <c r="H607" s="7"/>
      <c r="I607" s="7"/>
      <c r="J607" s="7"/>
      <c r="K607" s="7"/>
      <c r="L607" s="7"/>
      <c r="M607" s="7"/>
      <c r="N607" s="7"/>
      <c r="O607" s="7"/>
      <c r="P607" s="7"/>
      <c r="Q607" s="7"/>
      <c r="R607" s="7"/>
      <c r="S607" s="7"/>
      <c r="T607" s="7"/>
      <c r="U607" s="7"/>
      <c r="V607" s="7"/>
    </row>
    <row r="608" spans="1:22" ht="12.75" customHeight="1">
      <c r="A608" s="7"/>
      <c r="B608" s="7"/>
      <c r="C608" s="8"/>
      <c r="D608" s="66"/>
      <c r="E608" s="7"/>
      <c r="F608" s="7"/>
      <c r="G608" s="7"/>
      <c r="H608" s="7"/>
      <c r="I608" s="7"/>
      <c r="J608" s="7"/>
      <c r="K608" s="7"/>
      <c r="L608" s="7"/>
      <c r="M608" s="7"/>
      <c r="N608" s="7"/>
      <c r="O608" s="7"/>
      <c r="P608" s="7"/>
      <c r="Q608" s="7"/>
      <c r="R608" s="7"/>
      <c r="S608" s="7"/>
      <c r="T608" s="7"/>
      <c r="U608" s="7"/>
      <c r="V608" s="7"/>
    </row>
    <row r="609" spans="1:22" ht="12.75" customHeight="1">
      <c r="A609" s="7"/>
      <c r="B609" s="7"/>
      <c r="C609" s="8"/>
      <c r="D609" s="66"/>
      <c r="E609" s="7"/>
      <c r="F609" s="7"/>
      <c r="G609" s="7"/>
      <c r="H609" s="7"/>
      <c r="I609" s="7"/>
      <c r="J609" s="7"/>
      <c r="K609" s="7"/>
      <c r="L609" s="7"/>
      <c r="M609" s="7"/>
      <c r="N609" s="7"/>
      <c r="O609" s="7"/>
      <c r="P609" s="7"/>
      <c r="Q609" s="7"/>
      <c r="R609" s="7"/>
      <c r="S609" s="7"/>
      <c r="T609" s="7"/>
      <c r="U609" s="7"/>
      <c r="V609" s="7"/>
    </row>
    <row r="610" spans="1:22" ht="12.75" customHeight="1">
      <c r="A610" s="7"/>
      <c r="B610" s="7"/>
      <c r="C610" s="8"/>
      <c r="D610" s="66"/>
      <c r="E610" s="7"/>
      <c r="F610" s="7"/>
      <c r="G610" s="7"/>
      <c r="H610" s="7"/>
      <c r="I610" s="7"/>
      <c r="J610" s="7"/>
      <c r="K610" s="7"/>
      <c r="L610" s="7"/>
      <c r="M610" s="7"/>
      <c r="N610" s="7"/>
      <c r="O610" s="7"/>
      <c r="P610" s="7"/>
      <c r="Q610" s="7"/>
      <c r="R610" s="7"/>
      <c r="S610" s="7"/>
      <c r="T610" s="7"/>
      <c r="U610" s="7"/>
      <c r="V610" s="7"/>
    </row>
    <row r="611" spans="1:22" ht="12.75" customHeight="1">
      <c r="A611" s="7"/>
      <c r="B611" s="7"/>
      <c r="C611" s="8"/>
      <c r="D611" s="66"/>
      <c r="E611" s="7"/>
      <c r="F611" s="7"/>
      <c r="G611" s="7"/>
      <c r="H611" s="7"/>
      <c r="I611" s="7"/>
      <c r="J611" s="7"/>
      <c r="K611" s="7"/>
      <c r="L611" s="7"/>
      <c r="M611" s="7"/>
      <c r="N611" s="7"/>
      <c r="O611" s="7"/>
      <c r="P611" s="7"/>
      <c r="Q611" s="7"/>
      <c r="R611" s="7"/>
      <c r="S611" s="7"/>
      <c r="T611" s="7"/>
      <c r="U611" s="7"/>
      <c r="V611" s="7"/>
    </row>
    <row r="612" spans="1:22" ht="12.75" customHeight="1">
      <c r="A612" s="7"/>
      <c r="B612" s="7"/>
      <c r="C612" s="8"/>
      <c r="D612" s="66"/>
      <c r="E612" s="7"/>
      <c r="F612" s="7"/>
      <c r="G612" s="7"/>
      <c r="H612" s="7"/>
      <c r="I612" s="7"/>
      <c r="J612" s="7"/>
      <c r="K612" s="7"/>
      <c r="L612" s="7"/>
      <c r="M612" s="7"/>
      <c r="N612" s="7"/>
      <c r="O612" s="7"/>
      <c r="P612" s="7"/>
      <c r="Q612" s="7"/>
      <c r="R612" s="7"/>
      <c r="S612" s="7"/>
      <c r="T612" s="7"/>
      <c r="U612" s="7"/>
      <c r="V612" s="7"/>
    </row>
    <row r="613" spans="1:22" ht="12.75" customHeight="1">
      <c r="A613" s="7"/>
      <c r="B613" s="7"/>
      <c r="C613" s="8"/>
      <c r="D613" s="66"/>
      <c r="E613" s="7"/>
      <c r="F613" s="7"/>
      <c r="G613" s="7"/>
      <c r="H613" s="7"/>
      <c r="I613" s="7"/>
      <c r="J613" s="7"/>
      <c r="K613" s="7"/>
      <c r="L613" s="7"/>
      <c r="M613" s="7"/>
      <c r="N613" s="7"/>
      <c r="O613" s="7"/>
      <c r="P613" s="7"/>
      <c r="Q613" s="7"/>
      <c r="R613" s="7"/>
      <c r="S613" s="7"/>
      <c r="T613" s="7"/>
      <c r="U613" s="7"/>
      <c r="V613" s="7"/>
    </row>
    <row r="614" spans="1:22" ht="12.75" customHeight="1">
      <c r="A614" s="7"/>
      <c r="B614" s="7"/>
      <c r="C614" s="8"/>
      <c r="D614" s="66"/>
      <c r="E614" s="7"/>
      <c r="F614" s="7"/>
      <c r="G614" s="7"/>
      <c r="H614" s="7"/>
      <c r="I614" s="7"/>
      <c r="J614" s="7"/>
      <c r="K614" s="7"/>
      <c r="L614" s="7"/>
      <c r="M614" s="7"/>
      <c r="N614" s="7"/>
      <c r="O614" s="7"/>
      <c r="P614" s="7"/>
      <c r="Q614" s="7"/>
      <c r="R614" s="7"/>
      <c r="S614" s="7"/>
      <c r="T614" s="7"/>
      <c r="U614" s="7"/>
      <c r="V614" s="7"/>
    </row>
    <row r="615" spans="1:22" ht="12.75" customHeight="1">
      <c r="A615" s="7"/>
      <c r="B615" s="7"/>
      <c r="C615" s="8"/>
      <c r="D615" s="66"/>
      <c r="E615" s="7"/>
      <c r="F615" s="7"/>
      <c r="G615" s="7"/>
      <c r="H615" s="7"/>
      <c r="I615" s="7"/>
      <c r="J615" s="7"/>
      <c r="K615" s="7"/>
      <c r="L615" s="7"/>
      <c r="M615" s="7"/>
      <c r="N615" s="7"/>
      <c r="O615" s="7"/>
      <c r="P615" s="7"/>
      <c r="Q615" s="7"/>
      <c r="R615" s="7"/>
      <c r="S615" s="7"/>
      <c r="T615" s="7"/>
      <c r="U615" s="7"/>
      <c r="V615" s="7"/>
    </row>
    <row r="616" spans="1:22" ht="12.75" customHeight="1">
      <c r="A616" s="7"/>
      <c r="B616" s="7"/>
      <c r="C616" s="8"/>
      <c r="D616" s="66"/>
      <c r="E616" s="7"/>
      <c r="F616" s="7"/>
      <c r="G616" s="7"/>
      <c r="H616" s="7"/>
      <c r="I616" s="7"/>
      <c r="J616" s="7"/>
      <c r="K616" s="7"/>
      <c r="L616" s="7"/>
      <c r="M616" s="7"/>
      <c r="N616" s="7"/>
      <c r="O616" s="7"/>
      <c r="P616" s="7"/>
      <c r="Q616" s="7"/>
      <c r="R616" s="7"/>
      <c r="S616" s="7"/>
      <c r="T616" s="7"/>
      <c r="U616" s="7"/>
      <c r="V616" s="7"/>
    </row>
    <row r="617" spans="1:22" ht="12.75" customHeight="1">
      <c r="A617" s="7"/>
      <c r="B617" s="7"/>
      <c r="C617" s="8"/>
      <c r="D617" s="66"/>
      <c r="E617" s="7"/>
      <c r="F617" s="7"/>
      <c r="G617" s="7"/>
      <c r="H617" s="7"/>
      <c r="I617" s="7"/>
      <c r="J617" s="7"/>
      <c r="K617" s="7"/>
      <c r="L617" s="7"/>
      <c r="M617" s="7"/>
      <c r="N617" s="7"/>
      <c r="O617" s="7"/>
      <c r="P617" s="7"/>
      <c r="Q617" s="7"/>
      <c r="R617" s="7"/>
      <c r="S617" s="7"/>
      <c r="T617" s="7"/>
      <c r="U617" s="7"/>
      <c r="V617" s="7"/>
    </row>
    <row r="618" spans="1:22" ht="12.75" customHeight="1">
      <c r="A618" s="7"/>
      <c r="B618" s="7"/>
      <c r="C618" s="8"/>
      <c r="D618" s="66"/>
      <c r="E618" s="7"/>
      <c r="F618" s="7"/>
      <c r="G618" s="7"/>
      <c r="H618" s="7"/>
      <c r="I618" s="7"/>
      <c r="J618" s="7"/>
      <c r="K618" s="7"/>
      <c r="L618" s="7"/>
      <c r="M618" s="7"/>
      <c r="N618" s="7"/>
      <c r="O618" s="7"/>
      <c r="P618" s="7"/>
      <c r="Q618" s="7"/>
      <c r="R618" s="7"/>
      <c r="S618" s="7"/>
      <c r="T618" s="7"/>
      <c r="U618" s="7"/>
      <c r="V618" s="7"/>
    </row>
    <row r="619" spans="1:22" ht="12.75" customHeight="1">
      <c r="A619" s="7"/>
      <c r="B619" s="7"/>
      <c r="C619" s="8"/>
      <c r="D619" s="66"/>
      <c r="E619" s="7"/>
      <c r="F619" s="7"/>
      <c r="G619" s="7"/>
      <c r="H619" s="7"/>
      <c r="I619" s="7"/>
      <c r="J619" s="7"/>
      <c r="K619" s="7"/>
      <c r="L619" s="7"/>
      <c r="M619" s="7"/>
      <c r="N619" s="7"/>
      <c r="O619" s="7"/>
      <c r="P619" s="7"/>
      <c r="Q619" s="7"/>
      <c r="R619" s="7"/>
      <c r="S619" s="7"/>
      <c r="T619" s="7"/>
      <c r="U619" s="7"/>
      <c r="V619" s="7"/>
    </row>
    <row r="620" spans="1:22" ht="12.75" customHeight="1">
      <c r="A620" s="7"/>
      <c r="B620" s="7"/>
      <c r="C620" s="8"/>
      <c r="D620" s="66"/>
      <c r="E620" s="7"/>
      <c r="F620" s="7"/>
      <c r="G620" s="7"/>
      <c r="H620" s="7"/>
      <c r="I620" s="7"/>
      <c r="J620" s="7"/>
      <c r="K620" s="7"/>
      <c r="L620" s="7"/>
      <c r="M620" s="7"/>
      <c r="N620" s="7"/>
      <c r="O620" s="7"/>
      <c r="P620" s="7"/>
      <c r="Q620" s="7"/>
      <c r="R620" s="7"/>
      <c r="S620" s="7"/>
      <c r="T620" s="7"/>
      <c r="U620" s="7"/>
      <c r="V620" s="7"/>
    </row>
    <row r="621" spans="1:22" ht="12.75" customHeight="1">
      <c r="A621" s="7"/>
      <c r="B621" s="7"/>
      <c r="C621" s="8"/>
      <c r="D621" s="66"/>
      <c r="E621" s="7"/>
      <c r="F621" s="7"/>
      <c r="G621" s="7"/>
      <c r="H621" s="7"/>
      <c r="I621" s="7"/>
      <c r="J621" s="7"/>
      <c r="K621" s="7"/>
      <c r="L621" s="7"/>
      <c r="M621" s="7"/>
      <c r="N621" s="7"/>
      <c r="O621" s="7"/>
      <c r="P621" s="7"/>
      <c r="Q621" s="7"/>
      <c r="R621" s="7"/>
      <c r="S621" s="7"/>
      <c r="T621" s="7"/>
      <c r="U621" s="7"/>
      <c r="V621" s="7"/>
    </row>
    <row r="622" spans="1:22" ht="12.75" customHeight="1">
      <c r="A622" s="7"/>
      <c r="B622" s="7"/>
      <c r="C622" s="8"/>
      <c r="D622" s="66"/>
      <c r="E622" s="7"/>
      <c r="F622" s="7"/>
      <c r="G622" s="7"/>
      <c r="H622" s="7"/>
      <c r="I622" s="7"/>
      <c r="J622" s="7"/>
      <c r="K622" s="7"/>
      <c r="L622" s="7"/>
      <c r="M622" s="7"/>
      <c r="N622" s="7"/>
      <c r="O622" s="7"/>
      <c r="P622" s="7"/>
      <c r="Q622" s="7"/>
      <c r="R622" s="7"/>
      <c r="S622" s="7"/>
      <c r="T622" s="7"/>
      <c r="U622" s="7"/>
      <c r="V622" s="7"/>
    </row>
    <row r="623" spans="1:22" ht="12.75" customHeight="1">
      <c r="A623" s="7"/>
      <c r="B623" s="7"/>
      <c r="C623" s="8"/>
      <c r="D623" s="66"/>
      <c r="E623" s="7"/>
      <c r="F623" s="7"/>
      <c r="G623" s="7"/>
      <c r="H623" s="7"/>
      <c r="I623" s="7"/>
      <c r="J623" s="7"/>
      <c r="K623" s="7"/>
      <c r="L623" s="7"/>
      <c r="M623" s="7"/>
      <c r="N623" s="7"/>
      <c r="O623" s="7"/>
      <c r="P623" s="7"/>
      <c r="Q623" s="7"/>
      <c r="R623" s="7"/>
      <c r="S623" s="7"/>
      <c r="T623" s="7"/>
      <c r="U623" s="7"/>
      <c r="V623" s="7"/>
    </row>
    <row r="624" spans="1:22" ht="12.75" customHeight="1">
      <c r="A624" s="7"/>
      <c r="B624" s="7"/>
      <c r="C624" s="8"/>
      <c r="D624" s="66"/>
      <c r="E624" s="7"/>
      <c r="F624" s="7"/>
      <c r="G624" s="7"/>
      <c r="H624" s="7"/>
      <c r="I624" s="7"/>
      <c r="J624" s="7"/>
      <c r="K624" s="7"/>
      <c r="L624" s="7"/>
      <c r="M624" s="7"/>
      <c r="N624" s="7"/>
      <c r="O624" s="7"/>
      <c r="P624" s="7"/>
      <c r="Q624" s="7"/>
      <c r="R624" s="7"/>
      <c r="S624" s="7"/>
      <c r="T624" s="7"/>
      <c r="U624" s="7"/>
      <c r="V624" s="7"/>
    </row>
    <row r="625" spans="1:22" ht="12.75" customHeight="1">
      <c r="A625" s="7"/>
      <c r="B625" s="7"/>
      <c r="C625" s="8"/>
      <c r="D625" s="66"/>
      <c r="E625" s="7"/>
      <c r="F625" s="7"/>
      <c r="G625" s="7"/>
      <c r="H625" s="7"/>
      <c r="I625" s="7"/>
      <c r="J625" s="7"/>
      <c r="K625" s="7"/>
      <c r="L625" s="7"/>
      <c r="M625" s="7"/>
      <c r="N625" s="7"/>
      <c r="O625" s="7"/>
      <c r="P625" s="7"/>
      <c r="Q625" s="7"/>
      <c r="R625" s="7"/>
      <c r="S625" s="7"/>
      <c r="T625" s="7"/>
      <c r="U625" s="7"/>
      <c r="V625" s="7"/>
    </row>
    <row r="626" spans="1:22" ht="12.75" customHeight="1">
      <c r="A626" s="7"/>
      <c r="B626" s="7"/>
      <c r="C626" s="8"/>
      <c r="D626" s="66"/>
      <c r="E626" s="7"/>
      <c r="F626" s="7"/>
      <c r="G626" s="7"/>
      <c r="H626" s="7"/>
      <c r="I626" s="7"/>
      <c r="J626" s="7"/>
      <c r="K626" s="7"/>
      <c r="L626" s="7"/>
      <c r="M626" s="7"/>
      <c r="N626" s="7"/>
      <c r="O626" s="7"/>
      <c r="P626" s="7"/>
      <c r="Q626" s="7"/>
      <c r="R626" s="7"/>
      <c r="S626" s="7"/>
      <c r="T626" s="7"/>
      <c r="U626" s="7"/>
      <c r="V626" s="7"/>
    </row>
    <row r="627" spans="1:22" ht="12.75" customHeight="1">
      <c r="A627" s="7"/>
      <c r="B627" s="7"/>
      <c r="C627" s="8"/>
      <c r="D627" s="66"/>
      <c r="E627" s="7"/>
      <c r="F627" s="7"/>
      <c r="G627" s="7"/>
      <c r="H627" s="7"/>
      <c r="I627" s="7"/>
      <c r="J627" s="7"/>
      <c r="K627" s="7"/>
      <c r="L627" s="7"/>
      <c r="M627" s="7"/>
      <c r="N627" s="7"/>
      <c r="O627" s="7"/>
      <c r="P627" s="7"/>
      <c r="Q627" s="7"/>
      <c r="R627" s="7"/>
      <c r="S627" s="7"/>
      <c r="T627" s="7"/>
      <c r="U627" s="7"/>
      <c r="V627" s="7"/>
    </row>
    <row r="628" spans="1:22" ht="12.75" customHeight="1">
      <c r="A628" s="7"/>
      <c r="B628" s="7"/>
      <c r="C628" s="8"/>
      <c r="D628" s="66"/>
      <c r="E628" s="7"/>
      <c r="F628" s="7"/>
      <c r="G628" s="7"/>
      <c r="H628" s="7"/>
      <c r="I628" s="7"/>
      <c r="J628" s="7"/>
      <c r="K628" s="7"/>
      <c r="L628" s="7"/>
      <c r="M628" s="7"/>
      <c r="N628" s="7"/>
      <c r="O628" s="7"/>
      <c r="P628" s="7"/>
      <c r="Q628" s="7"/>
      <c r="R628" s="7"/>
      <c r="S628" s="7"/>
      <c r="T628" s="7"/>
      <c r="U628" s="7"/>
      <c r="V628" s="7"/>
    </row>
    <row r="629" spans="1:22" ht="12.75" customHeight="1">
      <c r="A629" s="7"/>
      <c r="B629" s="7"/>
      <c r="C629" s="8"/>
      <c r="D629" s="66"/>
      <c r="E629" s="7"/>
      <c r="F629" s="7"/>
      <c r="G629" s="7"/>
      <c r="H629" s="7"/>
      <c r="I629" s="7"/>
      <c r="J629" s="7"/>
      <c r="K629" s="7"/>
      <c r="L629" s="7"/>
      <c r="M629" s="7"/>
      <c r="N629" s="7"/>
      <c r="O629" s="7"/>
      <c r="P629" s="7"/>
      <c r="Q629" s="7"/>
      <c r="R629" s="7"/>
      <c r="S629" s="7"/>
      <c r="T629" s="7"/>
      <c r="U629" s="7"/>
      <c r="V629" s="7"/>
    </row>
    <row r="630" spans="1:22" ht="12.75" customHeight="1">
      <c r="A630" s="7"/>
      <c r="B630" s="7"/>
      <c r="C630" s="8"/>
      <c r="D630" s="66"/>
      <c r="E630" s="7"/>
      <c r="F630" s="7"/>
      <c r="G630" s="7"/>
      <c r="H630" s="7"/>
      <c r="I630" s="7"/>
      <c r="J630" s="7"/>
      <c r="K630" s="7"/>
      <c r="L630" s="7"/>
      <c r="M630" s="7"/>
      <c r="N630" s="7"/>
      <c r="O630" s="7"/>
      <c r="P630" s="7"/>
      <c r="Q630" s="7"/>
      <c r="R630" s="7"/>
      <c r="S630" s="7"/>
      <c r="T630" s="7"/>
      <c r="U630" s="7"/>
      <c r="V630" s="7"/>
    </row>
    <row r="631" spans="1:22" ht="12.75" customHeight="1">
      <c r="A631" s="7"/>
      <c r="B631" s="7"/>
      <c r="C631" s="8"/>
      <c r="D631" s="66"/>
      <c r="E631" s="7"/>
      <c r="F631" s="7"/>
      <c r="G631" s="7"/>
      <c r="H631" s="7"/>
      <c r="I631" s="7"/>
      <c r="J631" s="7"/>
      <c r="K631" s="7"/>
      <c r="L631" s="7"/>
      <c r="M631" s="7"/>
      <c r="N631" s="7"/>
      <c r="O631" s="7"/>
      <c r="P631" s="7"/>
      <c r="Q631" s="7"/>
      <c r="R631" s="7"/>
      <c r="S631" s="7"/>
      <c r="T631" s="7"/>
      <c r="U631" s="7"/>
      <c r="V631" s="7"/>
    </row>
    <row r="632" spans="1:22" ht="12.75" customHeight="1">
      <c r="A632" s="7"/>
      <c r="B632" s="7"/>
      <c r="C632" s="8"/>
      <c r="D632" s="66"/>
      <c r="E632" s="7"/>
      <c r="F632" s="7"/>
      <c r="G632" s="7"/>
      <c r="H632" s="7"/>
      <c r="I632" s="7"/>
      <c r="J632" s="7"/>
      <c r="K632" s="7"/>
      <c r="L632" s="7"/>
      <c r="M632" s="7"/>
      <c r="N632" s="7"/>
      <c r="O632" s="7"/>
      <c r="P632" s="7"/>
      <c r="Q632" s="7"/>
      <c r="R632" s="7"/>
      <c r="S632" s="7"/>
      <c r="T632" s="7"/>
      <c r="U632" s="7"/>
      <c r="V632" s="7"/>
    </row>
    <row r="633" spans="1:22" ht="12.75" customHeight="1">
      <c r="A633" s="7"/>
      <c r="B633" s="7"/>
      <c r="C633" s="8"/>
      <c r="D633" s="66"/>
      <c r="E633" s="7"/>
      <c r="F633" s="7"/>
      <c r="G633" s="7"/>
      <c r="H633" s="7"/>
      <c r="I633" s="7"/>
      <c r="J633" s="7"/>
      <c r="K633" s="7"/>
      <c r="L633" s="7"/>
      <c r="M633" s="7"/>
      <c r="N633" s="7"/>
      <c r="O633" s="7"/>
      <c r="P633" s="7"/>
      <c r="Q633" s="7"/>
      <c r="R633" s="7"/>
      <c r="S633" s="7"/>
      <c r="T633" s="7"/>
      <c r="U633" s="7"/>
      <c r="V633" s="7"/>
    </row>
    <row r="634" spans="1:22" ht="12.75" customHeight="1">
      <c r="A634" s="7"/>
      <c r="B634" s="7"/>
      <c r="C634" s="8"/>
      <c r="D634" s="66"/>
      <c r="E634" s="7"/>
      <c r="F634" s="7"/>
      <c r="G634" s="7"/>
      <c r="H634" s="7"/>
      <c r="I634" s="7"/>
      <c r="J634" s="7"/>
      <c r="K634" s="7"/>
      <c r="L634" s="7"/>
      <c r="M634" s="7"/>
      <c r="N634" s="7"/>
      <c r="O634" s="7"/>
      <c r="P634" s="7"/>
      <c r="Q634" s="7"/>
      <c r="R634" s="7"/>
      <c r="S634" s="7"/>
      <c r="T634" s="7"/>
      <c r="U634" s="7"/>
      <c r="V634" s="7"/>
    </row>
    <row r="635" spans="1:22" ht="12.75" customHeight="1">
      <c r="A635" s="7"/>
      <c r="B635" s="7"/>
      <c r="C635" s="8"/>
      <c r="D635" s="66"/>
      <c r="E635" s="7"/>
      <c r="F635" s="7"/>
      <c r="G635" s="7"/>
      <c r="H635" s="7"/>
      <c r="I635" s="7"/>
      <c r="J635" s="7"/>
      <c r="K635" s="7"/>
      <c r="L635" s="7"/>
      <c r="M635" s="7"/>
      <c r="N635" s="7"/>
      <c r="O635" s="7"/>
      <c r="P635" s="7"/>
      <c r="Q635" s="7"/>
      <c r="R635" s="7"/>
      <c r="S635" s="7"/>
      <c r="T635" s="7"/>
      <c r="U635" s="7"/>
      <c r="V635" s="7"/>
    </row>
    <row r="636" spans="1:22" ht="12.75" customHeight="1">
      <c r="A636" s="7"/>
      <c r="B636" s="7"/>
      <c r="C636" s="8"/>
      <c r="D636" s="66"/>
      <c r="E636" s="7"/>
      <c r="F636" s="7"/>
      <c r="G636" s="7"/>
      <c r="H636" s="7"/>
      <c r="I636" s="7"/>
      <c r="J636" s="7"/>
      <c r="K636" s="7"/>
      <c r="L636" s="7"/>
      <c r="M636" s="7"/>
      <c r="N636" s="7"/>
      <c r="O636" s="7"/>
      <c r="P636" s="7"/>
      <c r="Q636" s="7"/>
      <c r="R636" s="7"/>
      <c r="S636" s="7"/>
      <c r="T636" s="7"/>
      <c r="U636" s="7"/>
      <c r="V636" s="7"/>
    </row>
    <row r="637" spans="1:22" ht="12.75" customHeight="1">
      <c r="A637" s="7"/>
      <c r="B637" s="7"/>
      <c r="C637" s="8"/>
      <c r="D637" s="66"/>
      <c r="E637" s="7"/>
      <c r="F637" s="7"/>
      <c r="G637" s="7"/>
      <c r="H637" s="7"/>
      <c r="I637" s="7"/>
      <c r="J637" s="7"/>
      <c r="K637" s="7"/>
      <c r="L637" s="7"/>
      <c r="M637" s="7"/>
      <c r="N637" s="7"/>
      <c r="O637" s="7"/>
      <c r="P637" s="7"/>
      <c r="Q637" s="7"/>
      <c r="R637" s="7"/>
      <c r="S637" s="7"/>
      <c r="T637" s="7"/>
      <c r="U637" s="7"/>
      <c r="V637" s="7"/>
    </row>
    <row r="638" spans="1:22" ht="12.75" customHeight="1">
      <c r="A638" s="7"/>
      <c r="B638" s="7"/>
      <c r="C638" s="8"/>
      <c r="D638" s="66"/>
      <c r="E638" s="7"/>
      <c r="F638" s="7"/>
      <c r="G638" s="7"/>
      <c r="H638" s="7"/>
      <c r="I638" s="7"/>
      <c r="J638" s="7"/>
      <c r="K638" s="7"/>
      <c r="L638" s="7"/>
      <c r="M638" s="7"/>
      <c r="N638" s="7"/>
      <c r="O638" s="7"/>
      <c r="P638" s="7"/>
      <c r="Q638" s="7"/>
      <c r="R638" s="7"/>
      <c r="S638" s="7"/>
      <c r="T638" s="7"/>
      <c r="U638" s="7"/>
      <c r="V638" s="7"/>
    </row>
    <row r="639" spans="1:22" ht="12.75" customHeight="1">
      <c r="A639" s="7"/>
      <c r="B639" s="7"/>
      <c r="C639" s="8"/>
      <c r="D639" s="66"/>
      <c r="E639" s="7"/>
      <c r="F639" s="7"/>
      <c r="G639" s="7"/>
      <c r="H639" s="7"/>
      <c r="I639" s="7"/>
      <c r="J639" s="7"/>
      <c r="K639" s="7"/>
      <c r="L639" s="7"/>
      <c r="M639" s="7"/>
      <c r="N639" s="7"/>
      <c r="O639" s="7"/>
      <c r="P639" s="7"/>
      <c r="Q639" s="7"/>
      <c r="R639" s="7"/>
      <c r="S639" s="7"/>
      <c r="T639" s="7"/>
      <c r="U639" s="7"/>
      <c r="V639" s="7"/>
    </row>
    <row r="640" spans="1:22" ht="12.75" customHeight="1">
      <c r="A640" s="7"/>
      <c r="B640" s="7"/>
      <c r="C640" s="8"/>
      <c r="D640" s="66"/>
      <c r="E640" s="7"/>
      <c r="F640" s="7"/>
      <c r="G640" s="7"/>
      <c r="H640" s="7"/>
      <c r="I640" s="7"/>
      <c r="J640" s="7"/>
      <c r="K640" s="7"/>
      <c r="L640" s="7"/>
      <c r="M640" s="7"/>
      <c r="N640" s="7"/>
      <c r="O640" s="7"/>
      <c r="P640" s="7"/>
      <c r="Q640" s="7"/>
      <c r="R640" s="7"/>
      <c r="S640" s="7"/>
      <c r="T640" s="7"/>
      <c r="U640" s="7"/>
      <c r="V640" s="7"/>
    </row>
    <row r="641" spans="1:22" ht="12.75" customHeight="1">
      <c r="A641" s="7"/>
      <c r="B641" s="7"/>
      <c r="C641" s="8"/>
      <c r="D641" s="66"/>
      <c r="E641" s="7"/>
      <c r="F641" s="7"/>
      <c r="G641" s="7"/>
      <c r="H641" s="7"/>
      <c r="I641" s="7"/>
      <c r="J641" s="7"/>
      <c r="K641" s="7"/>
      <c r="L641" s="7"/>
      <c r="M641" s="7"/>
      <c r="N641" s="7"/>
      <c r="O641" s="7"/>
      <c r="P641" s="7"/>
      <c r="Q641" s="7"/>
      <c r="R641" s="7"/>
      <c r="S641" s="7"/>
      <c r="T641" s="7"/>
      <c r="U641" s="7"/>
      <c r="V641" s="7"/>
    </row>
    <row r="642" spans="1:22" ht="12.75" customHeight="1">
      <c r="A642" s="7"/>
      <c r="B642" s="7"/>
      <c r="C642" s="8"/>
      <c r="D642" s="66"/>
      <c r="E642" s="7"/>
      <c r="F642" s="7"/>
      <c r="G642" s="7"/>
      <c r="H642" s="7"/>
      <c r="I642" s="7"/>
      <c r="J642" s="7"/>
      <c r="K642" s="7"/>
      <c r="L642" s="7"/>
      <c r="M642" s="7"/>
      <c r="N642" s="7"/>
      <c r="O642" s="7"/>
      <c r="P642" s="7"/>
      <c r="Q642" s="7"/>
      <c r="R642" s="7"/>
      <c r="S642" s="7"/>
      <c r="T642" s="7"/>
      <c r="U642" s="7"/>
      <c r="V642" s="7"/>
    </row>
    <row r="643" spans="1:22" ht="12.75" customHeight="1">
      <c r="A643" s="7"/>
      <c r="B643" s="7"/>
      <c r="C643" s="8"/>
      <c r="D643" s="66"/>
      <c r="E643" s="7"/>
      <c r="F643" s="7"/>
      <c r="G643" s="7"/>
      <c r="H643" s="7"/>
      <c r="I643" s="7"/>
      <c r="J643" s="7"/>
      <c r="K643" s="7"/>
      <c r="L643" s="7"/>
      <c r="M643" s="7"/>
      <c r="N643" s="7"/>
      <c r="O643" s="7"/>
      <c r="P643" s="7"/>
      <c r="Q643" s="7"/>
      <c r="R643" s="7"/>
      <c r="S643" s="7"/>
      <c r="T643" s="7"/>
      <c r="U643" s="7"/>
      <c r="V643" s="7"/>
    </row>
    <row r="644" spans="1:22" ht="12.75" customHeight="1">
      <c r="A644" s="7"/>
      <c r="B644" s="7"/>
      <c r="C644" s="8"/>
      <c r="D644" s="66"/>
      <c r="E644" s="7"/>
      <c r="F644" s="7"/>
      <c r="G644" s="7"/>
      <c r="H644" s="7"/>
      <c r="I644" s="7"/>
      <c r="J644" s="7"/>
      <c r="K644" s="7"/>
      <c r="L644" s="7"/>
      <c r="M644" s="7"/>
      <c r="N644" s="7"/>
      <c r="O644" s="7"/>
      <c r="P644" s="7"/>
      <c r="Q644" s="7"/>
      <c r="R644" s="7"/>
      <c r="S644" s="7"/>
      <c r="T644" s="7"/>
      <c r="U644" s="7"/>
      <c r="V644" s="7"/>
    </row>
    <row r="645" spans="1:22" ht="12.75" customHeight="1">
      <c r="A645" s="7"/>
      <c r="B645" s="7"/>
      <c r="C645" s="8"/>
      <c r="D645" s="66"/>
      <c r="E645" s="7"/>
      <c r="F645" s="7"/>
      <c r="G645" s="7"/>
      <c r="H645" s="7"/>
      <c r="I645" s="7"/>
      <c r="J645" s="7"/>
      <c r="K645" s="7"/>
      <c r="L645" s="7"/>
      <c r="M645" s="7"/>
      <c r="N645" s="7"/>
      <c r="O645" s="7"/>
      <c r="P645" s="7"/>
      <c r="Q645" s="7"/>
      <c r="R645" s="7"/>
      <c r="S645" s="7"/>
      <c r="T645" s="7"/>
      <c r="U645" s="7"/>
      <c r="V645" s="7"/>
    </row>
    <row r="646" spans="1:22" ht="12.75" customHeight="1">
      <c r="A646" s="7"/>
      <c r="B646" s="7"/>
      <c r="C646" s="8"/>
      <c r="D646" s="66"/>
      <c r="E646" s="7"/>
      <c r="F646" s="7"/>
      <c r="G646" s="7"/>
      <c r="H646" s="7"/>
      <c r="I646" s="7"/>
      <c r="J646" s="7"/>
      <c r="K646" s="7"/>
      <c r="L646" s="7"/>
      <c r="M646" s="7"/>
      <c r="N646" s="7"/>
      <c r="O646" s="7"/>
      <c r="P646" s="7"/>
      <c r="Q646" s="7"/>
      <c r="R646" s="7"/>
      <c r="S646" s="7"/>
      <c r="T646" s="7"/>
      <c r="U646" s="7"/>
      <c r="V646" s="7"/>
    </row>
    <row r="647" spans="1:22" ht="12.75" customHeight="1">
      <c r="A647" s="7"/>
      <c r="B647" s="7"/>
      <c r="C647" s="8"/>
      <c r="D647" s="66"/>
      <c r="E647" s="7"/>
      <c r="F647" s="7"/>
      <c r="G647" s="7"/>
      <c r="H647" s="7"/>
      <c r="I647" s="7"/>
      <c r="J647" s="7"/>
      <c r="K647" s="7"/>
      <c r="L647" s="7"/>
      <c r="M647" s="7"/>
      <c r="N647" s="7"/>
      <c r="O647" s="7"/>
      <c r="P647" s="7"/>
      <c r="Q647" s="7"/>
      <c r="R647" s="7"/>
      <c r="S647" s="7"/>
      <c r="T647" s="7"/>
      <c r="U647" s="7"/>
      <c r="V647" s="7"/>
    </row>
    <row r="648" spans="1:22" ht="12.75" customHeight="1">
      <c r="A648" s="7"/>
      <c r="B648" s="7"/>
      <c r="C648" s="8"/>
      <c r="D648" s="66"/>
      <c r="E648" s="7"/>
      <c r="F648" s="7"/>
      <c r="G648" s="7"/>
      <c r="H648" s="7"/>
      <c r="I648" s="7"/>
      <c r="J648" s="7"/>
      <c r="K648" s="7"/>
      <c r="L648" s="7"/>
      <c r="M648" s="7"/>
      <c r="N648" s="7"/>
      <c r="O648" s="7"/>
      <c r="P648" s="7"/>
      <c r="Q648" s="7"/>
      <c r="R648" s="7"/>
      <c r="S648" s="7"/>
      <c r="T648" s="7"/>
      <c r="U648" s="7"/>
      <c r="V648" s="7"/>
    </row>
    <row r="649" spans="1:22" ht="12.75" customHeight="1">
      <c r="A649" s="7"/>
      <c r="B649" s="7"/>
      <c r="C649" s="8"/>
      <c r="D649" s="66"/>
      <c r="E649" s="7"/>
      <c r="F649" s="7"/>
      <c r="G649" s="7"/>
      <c r="H649" s="7"/>
      <c r="I649" s="7"/>
      <c r="J649" s="7"/>
      <c r="K649" s="7"/>
      <c r="L649" s="7"/>
      <c r="M649" s="7"/>
      <c r="N649" s="7"/>
      <c r="O649" s="7"/>
      <c r="P649" s="7"/>
      <c r="Q649" s="7"/>
      <c r="R649" s="7"/>
      <c r="S649" s="7"/>
      <c r="T649" s="7"/>
      <c r="U649" s="7"/>
      <c r="V649" s="7"/>
    </row>
    <row r="650" spans="1:22" ht="12.75" customHeight="1">
      <c r="A650" s="7"/>
      <c r="B650" s="7"/>
      <c r="C650" s="8"/>
      <c r="D650" s="66"/>
      <c r="E650" s="7"/>
      <c r="F650" s="7"/>
      <c r="G650" s="7"/>
      <c r="H650" s="7"/>
      <c r="I650" s="7"/>
      <c r="J650" s="7"/>
      <c r="K650" s="7"/>
      <c r="L650" s="7"/>
      <c r="M650" s="7"/>
      <c r="N650" s="7"/>
      <c r="O650" s="7"/>
      <c r="P650" s="7"/>
      <c r="Q650" s="7"/>
      <c r="R650" s="7"/>
      <c r="S650" s="7"/>
      <c r="T650" s="7"/>
      <c r="U650" s="7"/>
      <c r="V650" s="7"/>
    </row>
    <row r="651" spans="1:22" ht="12.75" customHeight="1">
      <c r="A651" s="7"/>
      <c r="B651" s="7"/>
      <c r="C651" s="8"/>
      <c r="D651" s="66"/>
      <c r="E651" s="7"/>
      <c r="F651" s="7"/>
      <c r="G651" s="7"/>
      <c r="H651" s="7"/>
      <c r="I651" s="7"/>
      <c r="J651" s="7"/>
      <c r="K651" s="7"/>
      <c r="L651" s="7"/>
      <c r="M651" s="7"/>
      <c r="N651" s="7"/>
      <c r="O651" s="7"/>
      <c r="P651" s="7"/>
      <c r="Q651" s="7"/>
      <c r="R651" s="7"/>
      <c r="S651" s="7"/>
      <c r="T651" s="7"/>
      <c r="U651" s="7"/>
      <c r="V651" s="7"/>
    </row>
    <row r="652" spans="1:22" ht="12.75" customHeight="1">
      <c r="A652" s="7"/>
      <c r="B652" s="7"/>
      <c r="C652" s="8"/>
      <c r="D652" s="66"/>
      <c r="E652" s="7"/>
      <c r="F652" s="7"/>
      <c r="G652" s="7"/>
      <c r="H652" s="7"/>
      <c r="I652" s="7"/>
      <c r="J652" s="7"/>
      <c r="K652" s="7"/>
      <c r="L652" s="7"/>
      <c r="M652" s="7"/>
      <c r="N652" s="7"/>
      <c r="O652" s="7"/>
      <c r="P652" s="7"/>
      <c r="Q652" s="7"/>
      <c r="R652" s="7"/>
      <c r="S652" s="7"/>
      <c r="T652" s="7"/>
      <c r="U652" s="7"/>
      <c r="V652" s="7"/>
    </row>
    <row r="653" spans="1:22" ht="12.75" customHeight="1">
      <c r="A653" s="7"/>
      <c r="B653" s="7"/>
      <c r="C653" s="8"/>
      <c r="D653" s="66"/>
      <c r="E653" s="7"/>
      <c r="F653" s="7"/>
      <c r="G653" s="7"/>
      <c r="H653" s="7"/>
      <c r="I653" s="7"/>
      <c r="J653" s="7"/>
      <c r="K653" s="7"/>
      <c r="L653" s="7"/>
      <c r="M653" s="7"/>
      <c r="N653" s="7"/>
      <c r="O653" s="7"/>
      <c r="P653" s="7"/>
      <c r="Q653" s="7"/>
      <c r="R653" s="7"/>
      <c r="S653" s="7"/>
      <c r="T653" s="7"/>
      <c r="U653" s="7"/>
      <c r="V653" s="7"/>
    </row>
    <row r="654" spans="1:22" ht="12.75" customHeight="1">
      <c r="A654" s="7"/>
      <c r="B654" s="7"/>
      <c r="C654" s="8"/>
      <c r="D654" s="66"/>
      <c r="E654" s="7"/>
      <c r="F654" s="7"/>
      <c r="G654" s="7"/>
      <c r="H654" s="7"/>
      <c r="I654" s="7"/>
      <c r="J654" s="7"/>
      <c r="K654" s="7"/>
      <c r="L654" s="7"/>
      <c r="M654" s="7"/>
      <c r="N654" s="7"/>
      <c r="O654" s="7"/>
      <c r="P654" s="7"/>
      <c r="Q654" s="7"/>
      <c r="R654" s="7"/>
      <c r="S654" s="7"/>
      <c r="T654" s="7"/>
      <c r="U654" s="7"/>
      <c r="V654" s="7"/>
    </row>
    <row r="655" spans="1:22" ht="12.75" customHeight="1">
      <c r="A655" s="7"/>
      <c r="B655" s="7"/>
      <c r="C655" s="8"/>
      <c r="D655" s="66"/>
      <c r="E655" s="7"/>
      <c r="F655" s="7"/>
      <c r="G655" s="7"/>
      <c r="H655" s="7"/>
      <c r="I655" s="7"/>
      <c r="J655" s="7"/>
      <c r="K655" s="7"/>
      <c r="L655" s="7"/>
      <c r="M655" s="7"/>
      <c r="N655" s="7"/>
      <c r="O655" s="7"/>
      <c r="P655" s="7"/>
      <c r="Q655" s="7"/>
      <c r="R655" s="7"/>
      <c r="S655" s="7"/>
      <c r="T655" s="7"/>
      <c r="U655" s="7"/>
      <c r="V655" s="7"/>
    </row>
    <row r="656" spans="1:22" ht="12.75" customHeight="1">
      <c r="A656" s="7"/>
      <c r="B656" s="7"/>
      <c r="C656" s="8"/>
      <c r="D656" s="66"/>
      <c r="E656" s="7"/>
      <c r="F656" s="7"/>
      <c r="G656" s="7"/>
      <c r="H656" s="7"/>
      <c r="I656" s="7"/>
      <c r="J656" s="7"/>
      <c r="K656" s="7"/>
      <c r="L656" s="7"/>
      <c r="M656" s="7"/>
      <c r="N656" s="7"/>
      <c r="O656" s="7"/>
      <c r="P656" s="7"/>
      <c r="Q656" s="7"/>
      <c r="R656" s="7"/>
      <c r="S656" s="7"/>
      <c r="T656" s="7"/>
      <c r="U656" s="7"/>
      <c r="V656" s="7"/>
    </row>
    <row r="657" spans="1:22" ht="12.75" customHeight="1">
      <c r="A657" s="7"/>
      <c r="B657" s="7"/>
      <c r="C657" s="8"/>
      <c r="D657" s="66"/>
      <c r="E657" s="7"/>
      <c r="F657" s="7"/>
      <c r="G657" s="7"/>
      <c r="H657" s="7"/>
      <c r="I657" s="7"/>
      <c r="J657" s="7"/>
      <c r="K657" s="7"/>
      <c r="L657" s="7"/>
      <c r="M657" s="7"/>
      <c r="N657" s="7"/>
      <c r="O657" s="7"/>
      <c r="P657" s="7"/>
      <c r="Q657" s="7"/>
      <c r="R657" s="7"/>
      <c r="S657" s="7"/>
      <c r="T657" s="7"/>
      <c r="U657" s="7"/>
      <c r="V657" s="7"/>
    </row>
    <row r="658" spans="1:22" ht="12.75" customHeight="1">
      <c r="A658" s="7"/>
      <c r="B658" s="7"/>
      <c r="C658" s="8"/>
      <c r="D658" s="66"/>
      <c r="E658" s="7"/>
      <c r="F658" s="7"/>
      <c r="G658" s="7"/>
      <c r="H658" s="7"/>
      <c r="I658" s="7"/>
      <c r="J658" s="7"/>
      <c r="K658" s="7"/>
      <c r="L658" s="7"/>
      <c r="M658" s="7"/>
      <c r="N658" s="7"/>
      <c r="O658" s="7"/>
      <c r="P658" s="7"/>
      <c r="Q658" s="7"/>
      <c r="R658" s="7"/>
      <c r="S658" s="7"/>
      <c r="T658" s="7"/>
      <c r="U658" s="7"/>
      <c r="V658" s="7"/>
    </row>
    <row r="659" spans="1:22" ht="12.75" customHeight="1">
      <c r="A659" s="7"/>
      <c r="B659" s="7"/>
      <c r="C659" s="8"/>
      <c r="D659" s="66"/>
      <c r="E659" s="7"/>
      <c r="F659" s="7"/>
      <c r="G659" s="7"/>
      <c r="H659" s="7"/>
      <c r="I659" s="7"/>
      <c r="J659" s="7"/>
      <c r="K659" s="7"/>
      <c r="L659" s="7"/>
      <c r="M659" s="7"/>
      <c r="N659" s="7"/>
      <c r="O659" s="7"/>
      <c r="P659" s="7"/>
      <c r="Q659" s="7"/>
      <c r="R659" s="7"/>
      <c r="S659" s="7"/>
      <c r="T659" s="7"/>
      <c r="U659" s="7"/>
      <c r="V659" s="7"/>
    </row>
    <row r="660" spans="1:22" ht="12.75" customHeight="1">
      <c r="A660" s="7"/>
      <c r="B660" s="7"/>
      <c r="C660" s="8"/>
      <c r="D660" s="66"/>
      <c r="E660" s="7"/>
      <c r="F660" s="7"/>
      <c r="G660" s="7"/>
      <c r="H660" s="7"/>
      <c r="I660" s="7"/>
      <c r="J660" s="7"/>
      <c r="K660" s="7"/>
      <c r="L660" s="7"/>
      <c r="M660" s="7"/>
      <c r="N660" s="7"/>
      <c r="O660" s="7"/>
      <c r="P660" s="7"/>
      <c r="Q660" s="7"/>
      <c r="R660" s="7"/>
      <c r="S660" s="7"/>
      <c r="T660" s="7"/>
      <c r="U660" s="7"/>
      <c r="V660" s="7"/>
    </row>
    <row r="661" spans="1:22" ht="12.75" customHeight="1">
      <c r="A661" s="7"/>
      <c r="B661" s="7"/>
      <c r="C661" s="8"/>
      <c r="D661" s="66"/>
      <c r="E661" s="7"/>
      <c r="F661" s="7"/>
      <c r="G661" s="7"/>
      <c r="H661" s="7"/>
      <c r="I661" s="7"/>
      <c r="J661" s="7"/>
      <c r="K661" s="7"/>
      <c r="L661" s="7"/>
      <c r="M661" s="7"/>
      <c r="N661" s="7"/>
      <c r="O661" s="7"/>
      <c r="P661" s="7"/>
      <c r="Q661" s="7"/>
      <c r="R661" s="7"/>
      <c r="S661" s="7"/>
      <c r="T661" s="7"/>
      <c r="U661" s="7"/>
      <c r="V661" s="7"/>
    </row>
    <row r="662" spans="1:22" ht="12.75" customHeight="1">
      <c r="A662" s="7"/>
      <c r="B662" s="7"/>
      <c r="C662" s="8"/>
      <c r="D662" s="66"/>
      <c r="E662" s="7"/>
      <c r="F662" s="7"/>
      <c r="G662" s="7"/>
      <c r="H662" s="7"/>
      <c r="I662" s="7"/>
      <c r="J662" s="7"/>
      <c r="K662" s="7"/>
      <c r="L662" s="7"/>
      <c r="M662" s="7"/>
      <c r="N662" s="7"/>
      <c r="O662" s="7"/>
      <c r="P662" s="7"/>
      <c r="Q662" s="7"/>
      <c r="R662" s="7"/>
      <c r="S662" s="7"/>
      <c r="T662" s="7"/>
      <c r="U662" s="7"/>
      <c r="V662" s="7"/>
    </row>
    <row r="663" spans="1:22" ht="12.75" customHeight="1">
      <c r="A663" s="7"/>
      <c r="B663" s="7"/>
      <c r="C663" s="8"/>
      <c r="D663" s="66"/>
      <c r="E663" s="7"/>
      <c r="F663" s="7"/>
      <c r="G663" s="7"/>
      <c r="H663" s="7"/>
      <c r="I663" s="7"/>
      <c r="J663" s="7"/>
      <c r="K663" s="7"/>
      <c r="L663" s="7"/>
      <c r="M663" s="7"/>
      <c r="N663" s="7"/>
      <c r="O663" s="7"/>
      <c r="P663" s="7"/>
      <c r="Q663" s="7"/>
      <c r="R663" s="7"/>
      <c r="S663" s="7"/>
      <c r="T663" s="7"/>
      <c r="U663" s="7"/>
      <c r="V663" s="7"/>
    </row>
    <row r="664" spans="1:22" ht="12.75" customHeight="1">
      <c r="A664" s="7"/>
      <c r="B664" s="7"/>
      <c r="C664" s="8"/>
      <c r="D664" s="66"/>
      <c r="E664" s="7"/>
      <c r="F664" s="7"/>
      <c r="G664" s="7"/>
      <c r="H664" s="7"/>
      <c r="I664" s="7"/>
      <c r="J664" s="7"/>
      <c r="K664" s="7"/>
      <c r="L664" s="7"/>
      <c r="M664" s="7"/>
      <c r="N664" s="7"/>
      <c r="O664" s="7"/>
      <c r="P664" s="7"/>
      <c r="Q664" s="7"/>
      <c r="R664" s="7"/>
      <c r="S664" s="7"/>
      <c r="T664" s="7"/>
      <c r="U664" s="7"/>
      <c r="V664" s="7"/>
    </row>
    <row r="665" spans="1:22" ht="12.75" customHeight="1">
      <c r="A665" s="7"/>
      <c r="B665" s="7"/>
      <c r="C665" s="8"/>
      <c r="D665" s="66"/>
      <c r="E665" s="7"/>
      <c r="F665" s="7"/>
      <c r="G665" s="7"/>
      <c r="H665" s="7"/>
      <c r="I665" s="7"/>
      <c r="J665" s="7"/>
      <c r="K665" s="7"/>
      <c r="L665" s="7"/>
      <c r="M665" s="7"/>
      <c r="N665" s="7"/>
      <c r="O665" s="7"/>
      <c r="P665" s="7"/>
      <c r="Q665" s="7"/>
      <c r="R665" s="7"/>
      <c r="S665" s="7"/>
      <c r="T665" s="7"/>
      <c r="U665" s="7"/>
      <c r="V665" s="7"/>
    </row>
    <row r="666" spans="1:22" ht="12.75" customHeight="1">
      <c r="A666" s="7"/>
      <c r="B666" s="7"/>
      <c r="C666" s="8"/>
      <c r="D666" s="66"/>
      <c r="E666" s="7"/>
      <c r="F666" s="7"/>
      <c r="G666" s="7"/>
      <c r="H666" s="7"/>
      <c r="I666" s="7"/>
      <c r="J666" s="7"/>
      <c r="K666" s="7"/>
      <c r="L666" s="7"/>
      <c r="M666" s="7"/>
      <c r="N666" s="7"/>
      <c r="O666" s="7"/>
      <c r="P666" s="7"/>
      <c r="Q666" s="7"/>
      <c r="R666" s="7"/>
      <c r="S666" s="7"/>
      <c r="T666" s="7"/>
      <c r="U666" s="7"/>
      <c r="V666" s="7"/>
    </row>
    <row r="667" spans="1:22" ht="12.75" customHeight="1">
      <c r="A667" s="7"/>
      <c r="B667" s="7"/>
      <c r="C667" s="8"/>
      <c r="D667" s="66"/>
      <c r="E667" s="7"/>
      <c r="F667" s="7"/>
      <c r="G667" s="7"/>
      <c r="H667" s="7"/>
      <c r="I667" s="7"/>
      <c r="J667" s="7"/>
      <c r="K667" s="7"/>
      <c r="L667" s="7"/>
      <c r="M667" s="7"/>
      <c r="N667" s="7"/>
      <c r="O667" s="7"/>
      <c r="P667" s="7"/>
      <c r="Q667" s="7"/>
      <c r="R667" s="7"/>
      <c r="S667" s="7"/>
      <c r="T667" s="7"/>
      <c r="U667" s="7"/>
      <c r="V667" s="7"/>
    </row>
    <row r="668" spans="1:22" ht="12.75" customHeight="1">
      <c r="A668" s="7"/>
      <c r="B668" s="7"/>
      <c r="C668" s="8"/>
      <c r="D668" s="66"/>
      <c r="E668" s="7"/>
      <c r="F668" s="7"/>
      <c r="G668" s="7"/>
      <c r="H668" s="7"/>
      <c r="I668" s="7"/>
      <c r="J668" s="7"/>
      <c r="K668" s="7"/>
      <c r="L668" s="7"/>
      <c r="M668" s="7"/>
      <c r="N668" s="7"/>
      <c r="O668" s="7"/>
      <c r="P668" s="7"/>
      <c r="Q668" s="7"/>
      <c r="R668" s="7"/>
      <c r="S668" s="7"/>
      <c r="T668" s="7"/>
      <c r="U668" s="7"/>
      <c r="V668" s="7"/>
    </row>
    <row r="669" spans="1:22" ht="12.75" customHeight="1">
      <c r="A669" s="7"/>
      <c r="B669" s="7"/>
      <c r="C669" s="8"/>
      <c r="D669" s="66"/>
      <c r="E669" s="7"/>
      <c r="F669" s="7"/>
      <c r="G669" s="7"/>
      <c r="H669" s="7"/>
      <c r="I669" s="7"/>
      <c r="J669" s="7"/>
      <c r="K669" s="7"/>
      <c r="L669" s="7"/>
      <c r="M669" s="7"/>
      <c r="N669" s="7"/>
      <c r="O669" s="7"/>
      <c r="P669" s="7"/>
      <c r="Q669" s="7"/>
      <c r="R669" s="7"/>
      <c r="S669" s="7"/>
      <c r="T669" s="7"/>
      <c r="U669" s="7"/>
      <c r="V669" s="7"/>
    </row>
    <row r="670" spans="1:22" ht="12.75" customHeight="1">
      <c r="A670" s="7"/>
      <c r="B670" s="7"/>
      <c r="C670" s="8"/>
      <c r="D670" s="66"/>
      <c r="E670" s="7"/>
      <c r="F670" s="7"/>
      <c r="G670" s="7"/>
      <c r="H670" s="7"/>
      <c r="I670" s="7"/>
      <c r="J670" s="7"/>
      <c r="K670" s="7"/>
      <c r="L670" s="7"/>
      <c r="M670" s="7"/>
      <c r="N670" s="7"/>
      <c r="O670" s="7"/>
      <c r="P670" s="7"/>
      <c r="Q670" s="7"/>
      <c r="R670" s="7"/>
      <c r="S670" s="7"/>
      <c r="T670" s="7"/>
      <c r="U670" s="7"/>
      <c r="V670" s="7"/>
    </row>
    <row r="671" spans="1:22" ht="12.75" customHeight="1">
      <c r="A671" s="7"/>
      <c r="B671" s="7"/>
      <c r="C671" s="8"/>
      <c r="D671" s="66"/>
      <c r="E671" s="7"/>
      <c r="F671" s="7"/>
      <c r="G671" s="7"/>
      <c r="H671" s="7"/>
      <c r="I671" s="7"/>
      <c r="J671" s="7"/>
      <c r="K671" s="7"/>
      <c r="L671" s="7"/>
      <c r="M671" s="7"/>
      <c r="N671" s="7"/>
      <c r="O671" s="7"/>
      <c r="P671" s="7"/>
      <c r="Q671" s="7"/>
      <c r="R671" s="7"/>
      <c r="S671" s="7"/>
      <c r="T671" s="7"/>
      <c r="U671" s="7"/>
      <c r="V671" s="7"/>
    </row>
    <row r="672" spans="1:22" ht="12.75" customHeight="1">
      <c r="A672" s="7"/>
      <c r="B672" s="7"/>
      <c r="C672" s="8"/>
      <c r="D672" s="66"/>
      <c r="E672" s="7"/>
      <c r="F672" s="7"/>
      <c r="G672" s="7"/>
      <c r="H672" s="7"/>
      <c r="I672" s="7"/>
      <c r="J672" s="7"/>
      <c r="K672" s="7"/>
      <c r="L672" s="7"/>
      <c r="M672" s="7"/>
      <c r="N672" s="7"/>
      <c r="O672" s="7"/>
      <c r="P672" s="7"/>
      <c r="Q672" s="7"/>
      <c r="R672" s="7"/>
      <c r="S672" s="7"/>
      <c r="T672" s="7"/>
      <c r="U672" s="7"/>
      <c r="V672" s="7"/>
    </row>
    <row r="673" spans="1:22" ht="12.75" customHeight="1">
      <c r="A673" s="7"/>
      <c r="B673" s="7"/>
      <c r="C673" s="8"/>
      <c r="D673" s="66"/>
      <c r="E673" s="7"/>
      <c r="F673" s="7"/>
      <c r="G673" s="7"/>
      <c r="H673" s="7"/>
      <c r="I673" s="7"/>
      <c r="J673" s="7"/>
      <c r="K673" s="7"/>
      <c r="L673" s="7"/>
      <c r="M673" s="7"/>
      <c r="N673" s="7"/>
      <c r="O673" s="7"/>
      <c r="P673" s="7"/>
      <c r="Q673" s="7"/>
      <c r="R673" s="7"/>
      <c r="S673" s="7"/>
      <c r="T673" s="7"/>
      <c r="U673" s="7"/>
      <c r="V673" s="7"/>
    </row>
    <row r="674" spans="1:22" ht="12.75" customHeight="1">
      <c r="A674" s="7"/>
      <c r="B674" s="7"/>
      <c r="C674" s="8"/>
      <c r="D674" s="66"/>
      <c r="E674" s="7"/>
      <c r="F674" s="7"/>
      <c r="G674" s="7"/>
      <c r="H674" s="7"/>
      <c r="I674" s="7"/>
      <c r="J674" s="7"/>
      <c r="K674" s="7"/>
      <c r="L674" s="7"/>
      <c r="M674" s="7"/>
      <c r="N674" s="7"/>
      <c r="O674" s="7"/>
      <c r="P674" s="7"/>
      <c r="Q674" s="7"/>
      <c r="R674" s="7"/>
      <c r="S674" s="7"/>
      <c r="T674" s="7"/>
      <c r="U674" s="7"/>
      <c r="V674" s="7"/>
    </row>
    <row r="675" spans="1:22" ht="12.75" customHeight="1">
      <c r="A675" s="7"/>
      <c r="B675" s="7"/>
      <c r="C675" s="8"/>
      <c r="D675" s="66"/>
      <c r="E675" s="7"/>
      <c r="F675" s="7"/>
      <c r="G675" s="7"/>
      <c r="H675" s="7"/>
      <c r="I675" s="7"/>
      <c r="J675" s="7"/>
      <c r="K675" s="7"/>
      <c r="L675" s="7"/>
      <c r="M675" s="7"/>
      <c r="N675" s="7"/>
      <c r="O675" s="7"/>
      <c r="P675" s="7"/>
      <c r="Q675" s="7"/>
      <c r="R675" s="7"/>
      <c r="S675" s="7"/>
      <c r="T675" s="7"/>
      <c r="U675" s="7"/>
      <c r="V675" s="7"/>
    </row>
    <row r="676" spans="1:22" ht="12.75" customHeight="1">
      <c r="A676" s="7"/>
      <c r="B676" s="7"/>
      <c r="C676" s="8"/>
      <c r="D676" s="66"/>
      <c r="E676" s="7"/>
      <c r="F676" s="7"/>
      <c r="G676" s="7"/>
      <c r="H676" s="7"/>
      <c r="I676" s="7"/>
      <c r="J676" s="7"/>
      <c r="K676" s="7"/>
      <c r="L676" s="7"/>
      <c r="M676" s="7"/>
      <c r="N676" s="7"/>
      <c r="O676" s="7"/>
      <c r="P676" s="7"/>
      <c r="Q676" s="7"/>
      <c r="R676" s="7"/>
      <c r="S676" s="7"/>
      <c r="T676" s="7"/>
      <c r="U676" s="7"/>
      <c r="V676" s="7"/>
    </row>
    <row r="677" spans="1:22" ht="12.75" customHeight="1">
      <c r="A677" s="7"/>
      <c r="B677" s="7"/>
      <c r="C677" s="8"/>
      <c r="D677" s="66"/>
      <c r="E677" s="7"/>
      <c r="F677" s="7"/>
      <c r="G677" s="7"/>
      <c r="H677" s="7"/>
      <c r="I677" s="7"/>
      <c r="J677" s="7"/>
      <c r="K677" s="7"/>
      <c r="L677" s="7"/>
      <c r="M677" s="7"/>
      <c r="N677" s="7"/>
      <c r="O677" s="7"/>
      <c r="P677" s="7"/>
      <c r="Q677" s="7"/>
      <c r="R677" s="7"/>
      <c r="S677" s="7"/>
      <c r="T677" s="7"/>
      <c r="U677" s="7"/>
      <c r="V677" s="7"/>
    </row>
    <row r="678" spans="1:22" ht="12.75" customHeight="1">
      <c r="A678" s="7"/>
      <c r="B678" s="7"/>
      <c r="C678" s="8"/>
      <c r="D678" s="66"/>
      <c r="E678" s="7"/>
      <c r="F678" s="7"/>
      <c r="G678" s="7"/>
      <c r="H678" s="7"/>
      <c r="I678" s="7"/>
      <c r="J678" s="7"/>
      <c r="K678" s="7"/>
      <c r="L678" s="7"/>
      <c r="M678" s="7"/>
      <c r="N678" s="7"/>
      <c r="O678" s="7"/>
      <c r="P678" s="7"/>
      <c r="Q678" s="7"/>
      <c r="R678" s="7"/>
      <c r="S678" s="7"/>
      <c r="T678" s="7"/>
      <c r="U678" s="7"/>
      <c r="V678" s="7"/>
    </row>
    <row r="679" spans="1:22" ht="12.75" customHeight="1">
      <c r="A679" s="7"/>
      <c r="B679" s="7"/>
      <c r="C679" s="8"/>
      <c r="D679" s="66"/>
      <c r="E679" s="7"/>
      <c r="F679" s="7"/>
      <c r="G679" s="7"/>
      <c r="H679" s="7"/>
      <c r="I679" s="7"/>
      <c r="J679" s="7"/>
      <c r="K679" s="7"/>
      <c r="L679" s="7"/>
      <c r="M679" s="7"/>
      <c r="N679" s="7"/>
      <c r="O679" s="7"/>
      <c r="P679" s="7"/>
      <c r="Q679" s="7"/>
      <c r="R679" s="7"/>
      <c r="S679" s="7"/>
      <c r="T679" s="7"/>
      <c r="U679" s="7"/>
      <c r="V679" s="7"/>
    </row>
    <row r="680" spans="1:22" ht="12.75" customHeight="1">
      <c r="A680" s="7"/>
      <c r="B680" s="7"/>
      <c r="C680" s="8"/>
      <c r="D680" s="66"/>
      <c r="E680" s="7"/>
      <c r="F680" s="7"/>
      <c r="G680" s="7"/>
      <c r="H680" s="7"/>
      <c r="I680" s="7"/>
      <c r="J680" s="7"/>
      <c r="K680" s="7"/>
      <c r="L680" s="7"/>
      <c r="M680" s="7"/>
      <c r="N680" s="7"/>
      <c r="O680" s="7"/>
      <c r="P680" s="7"/>
      <c r="Q680" s="7"/>
      <c r="R680" s="7"/>
      <c r="S680" s="7"/>
      <c r="T680" s="7"/>
      <c r="U680" s="7"/>
      <c r="V680" s="7"/>
    </row>
    <row r="681" spans="1:22" ht="12.75" customHeight="1">
      <c r="A681" s="7"/>
      <c r="B681" s="7"/>
      <c r="C681" s="8"/>
      <c r="D681" s="66"/>
      <c r="E681" s="7"/>
      <c r="F681" s="7"/>
      <c r="G681" s="7"/>
      <c r="H681" s="7"/>
      <c r="I681" s="7"/>
      <c r="J681" s="7"/>
      <c r="K681" s="7"/>
      <c r="L681" s="7"/>
      <c r="M681" s="7"/>
      <c r="N681" s="7"/>
      <c r="O681" s="7"/>
      <c r="P681" s="7"/>
      <c r="Q681" s="7"/>
      <c r="R681" s="7"/>
      <c r="S681" s="7"/>
      <c r="T681" s="7"/>
      <c r="U681" s="7"/>
      <c r="V681" s="7"/>
    </row>
    <row r="682" spans="1:22" ht="12.75" customHeight="1">
      <c r="A682" s="7"/>
      <c r="B682" s="7"/>
      <c r="C682" s="8"/>
      <c r="D682" s="66"/>
      <c r="E682" s="7"/>
      <c r="F682" s="7"/>
      <c r="G682" s="7"/>
      <c r="H682" s="7"/>
      <c r="I682" s="7"/>
      <c r="J682" s="7"/>
      <c r="K682" s="7"/>
      <c r="L682" s="7"/>
      <c r="M682" s="7"/>
      <c r="N682" s="7"/>
      <c r="O682" s="7"/>
      <c r="P682" s="7"/>
      <c r="Q682" s="7"/>
      <c r="R682" s="7"/>
      <c r="S682" s="7"/>
      <c r="T682" s="7"/>
      <c r="U682" s="7"/>
      <c r="V682" s="7"/>
    </row>
    <row r="683" spans="1:22" ht="12.75" customHeight="1">
      <c r="A683" s="7"/>
      <c r="B683" s="7"/>
      <c r="C683" s="8"/>
      <c r="D683" s="66"/>
      <c r="E683" s="7"/>
      <c r="F683" s="7"/>
      <c r="G683" s="7"/>
      <c r="H683" s="7"/>
      <c r="I683" s="7"/>
      <c r="J683" s="7"/>
      <c r="K683" s="7"/>
      <c r="L683" s="7"/>
      <c r="M683" s="7"/>
      <c r="N683" s="7"/>
      <c r="O683" s="7"/>
      <c r="P683" s="7"/>
      <c r="Q683" s="7"/>
      <c r="R683" s="7"/>
      <c r="S683" s="7"/>
      <c r="T683" s="7"/>
      <c r="U683" s="7"/>
      <c r="V683" s="7"/>
    </row>
    <row r="684" spans="1:22" ht="12.75" customHeight="1">
      <c r="A684" s="7"/>
      <c r="B684" s="7"/>
      <c r="C684" s="8"/>
      <c r="D684" s="66"/>
      <c r="E684" s="7"/>
      <c r="F684" s="7"/>
      <c r="G684" s="7"/>
      <c r="H684" s="7"/>
      <c r="I684" s="7"/>
      <c r="J684" s="7"/>
      <c r="K684" s="7"/>
      <c r="L684" s="7"/>
      <c r="M684" s="7"/>
      <c r="N684" s="7"/>
      <c r="O684" s="7"/>
      <c r="P684" s="7"/>
      <c r="Q684" s="7"/>
      <c r="R684" s="7"/>
      <c r="S684" s="7"/>
      <c r="T684" s="7"/>
      <c r="U684" s="7"/>
      <c r="V684" s="7"/>
    </row>
    <row r="685" spans="1:22" ht="12.75" customHeight="1">
      <c r="A685" s="7"/>
      <c r="B685" s="7"/>
      <c r="C685" s="8"/>
      <c r="D685" s="66"/>
      <c r="E685" s="7"/>
      <c r="F685" s="7"/>
      <c r="G685" s="7"/>
      <c r="H685" s="7"/>
      <c r="I685" s="7"/>
      <c r="J685" s="7"/>
      <c r="K685" s="7"/>
      <c r="L685" s="7"/>
      <c r="M685" s="7"/>
      <c r="N685" s="7"/>
      <c r="O685" s="7"/>
      <c r="P685" s="7"/>
      <c r="Q685" s="7"/>
      <c r="R685" s="7"/>
      <c r="S685" s="7"/>
      <c r="T685" s="7"/>
      <c r="U685" s="7"/>
      <c r="V685" s="7"/>
    </row>
    <row r="686" spans="1:22" ht="12.75" customHeight="1">
      <c r="A686" s="7"/>
      <c r="B686" s="7"/>
      <c r="C686" s="8"/>
      <c r="D686" s="66"/>
      <c r="E686" s="7"/>
      <c r="F686" s="7"/>
      <c r="G686" s="7"/>
      <c r="H686" s="7"/>
      <c r="I686" s="7"/>
      <c r="J686" s="7"/>
      <c r="K686" s="7"/>
      <c r="L686" s="7"/>
      <c r="M686" s="7"/>
      <c r="N686" s="7"/>
      <c r="O686" s="7"/>
      <c r="P686" s="7"/>
      <c r="Q686" s="7"/>
      <c r="R686" s="7"/>
      <c r="S686" s="7"/>
      <c r="T686" s="7"/>
      <c r="U686" s="7"/>
      <c r="V686" s="7"/>
    </row>
    <row r="687" spans="1:22" ht="12.75" customHeight="1">
      <c r="A687" s="7"/>
      <c r="B687" s="7"/>
      <c r="C687" s="8"/>
      <c r="D687" s="66"/>
      <c r="E687" s="7"/>
      <c r="F687" s="7"/>
      <c r="G687" s="7"/>
      <c r="H687" s="7"/>
      <c r="I687" s="7"/>
      <c r="J687" s="7"/>
      <c r="K687" s="7"/>
      <c r="L687" s="7"/>
      <c r="M687" s="7"/>
      <c r="N687" s="7"/>
      <c r="O687" s="7"/>
      <c r="P687" s="7"/>
      <c r="Q687" s="7"/>
      <c r="R687" s="7"/>
      <c r="S687" s="7"/>
      <c r="T687" s="7"/>
      <c r="U687" s="7"/>
      <c r="V687" s="7"/>
    </row>
    <row r="688" spans="1:22" ht="12.75" customHeight="1">
      <c r="A688" s="7"/>
      <c r="B688" s="7"/>
      <c r="C688" s="8"/>
      <c r="D688" s="66"/>
      <c r="E688" s="7"/>
      <c r="F688" s="7"/>
      <c r="G688" s="7"/>
      <c r="H688" s="7"/>
      <c r="I688" s="7"/>
      <c r="J688" s="7"/>
      <c r="K688" s="7"/>
      <c r="L688" s="7"/>
      <c r="M688" s="7"/>
      <c r="N688" s="7"/>
      <c r="O688" s="7"/>
      <c r="P688" s="7"/>
      <c r="Q688" s="7"/>
      <c r="R688" s="7"/>
      <c r="S688" s="7"/>
      <c r="T688" s="7"/>
      <c r="U688" s="7"/>
      <c r="V688" s="7"/>
    </row>
    <row r="689" spans="1:22" ht="12.75" customHeight="1">
      <c r="A689" s="7"/>
      <c r="B689" s="7"/>
      <c r="C689" s="8"/>
      <c r="D689" s="66"/>
      <c r="E689" s="7"/>
      <c r="F689" s="7"/>
      <c r="G689" s="7"/>
      <c r="H689" s="7"/>
      <c r="I689" s="7"/>
      <c r="J689" s="7"/>
      <c r="K689" s="7"/>
      <c r="L689" s="7"/>
      <c r="M689" s="7"/>
      <c r="N689" s="7"/>
      <c r="O689" s="7"/>
      <c r="P689" s="7"/>
      <c r="Q689" s="7"/>
      <c r="R689" s="7"/>
      <c r="S689" s="7"/>
      <c r="T689" s="7"/>
      <c r="U689" s="7"/>
      <c r="V689" s="7"/>
    </row>
    <row r="690" spans="1:22" ht="12.75" customHeight="1">
      <c r="A690" s="7"/>
      <c r="B690" s="7"/>
      <c r="C690" s="8"/>
      <c r="D690" s="66"/>
      <c r="E690" s="7"/>
      <c r="F690" s="7"/>
      <c r="G690" s="7"/>
      <c r="H690" s="7"/>
      <c r="I690" s="7"/>
      <c r="J690" s="7"/>
      <c r="K690" s="7"/>
      <c r="L690" s="7"/>
      <c r="M690" s="7"/>
      <c r="N690" s="7"/>
      <c r="O690" s="7"/>
      <c r="P690" s="7"/>
      <c r="Q690" s="7"/>
      <c r="R690" s="7"/>
      <c r="S690" s="7"/>
      <c r="T690" s="7"/>
      <c r="U690" s="7"/>
      <c r="V690" s="7"/>
    </row>
    <row r="691" spans="1:22" ht="12.75" customHeight="1">
      <c r="A691" s="7"/>
      <c r="B691" s="7"/>
      <c r="C691" s="8"/>
      <c r="D691" s="66"/>
      <c r="E691" s="7"/>
      <c r="F691" s="7"/>
      <c r="G691" s="7"/>
      <c r="H691" s="7"/>
      <c r="I691" s="7"/>
      <c r="J691" s="7"/>
      <c r="K691" s="7"/>
      <c r="L691" s="7"/>
      <c r="M691" s="7"/>
      <c r="N691" s="7"/>
      <c r="O691" s="7"/>
      <c r="P691" s="7"/>
      <c r="Q691" s="7"/>
      <c r="R691" s="7"/>
      <c r="S691" s="7"/>
      <c r="T691" s="7"/>
      <c r="U691" s="7"/>
      <c r="V691" s="7"/>
    </row>
    <row r="692" spans="1:22" ht="12.75" customHeight="1">
      <c r="A692" s="7"/>
      <c r="B692" s="7"/>
      <c r="C692" s="8"/>
      <c r="D692" s="66"/>
      <c r="E692" s="7"/>
      <c r="F692" s="7"/>
      <c r="G692" s="7"/>
      <c r="H692" s="7"/>
      <c r="I692" s="7"/>
      <c r="J692" s="7"/>
      <c r="K692" s="7"/>
      <c r="L692" s="7"/>
      <c r="M692" s="7"/>
      <c r="N692" s="7"/>
      <c r="O692" s="7"/>
      <c r="P692" s="7"/>
      <c r="Q692" s="7"/>
      <c r="R692" s="7"/>
      <c r="S692" s="7"/>
      <c r="T692" s="7"/>
      <c r="U692" s="7"/>
      <c r="V692" s="7"/>
    </row>
    <row r="693" spans="1:22" ht="12.75" customHeight="1">
      <c r="A693" s="7"/>
      <c r="B693" s="7"/>
      <c r="C693" s="8"/>
      <c r="D693" s="66"/>
      <c r="E693" s="7"/>
      <c r="F693" s="7"/>
      <c r="G693" s="7"/>
      <c r="H693" s="7"/>
      <c r="I693" s="7"/>
      <c r="J693" s="7"/>
      <c r="K693" s="7"/>
      <c r="L693" s="7"/>
      <c r="M693" s="7"/>
      <c r="N693" s="7"/>
      <c r="O693" s="7"/>
      <c r="P693" s="7"/>
      <c r="Q693" s="7"/>
      <c r="R693" s="7"/>
      <c r="S693" s="7"/>
      <c r="T693" s="7"/>
      <c r="U693" s="7"/>
      <c r="V693" s="7"/>
    </row>
    <row r="694" spans="1:22" ht="12.75" customHeight="1">
      <c r="A694" s="7"/>
      <c r="B694" s="7"/>
      <c r="C694" s="8"/>
      <c r="D694" s="66"/>
      <c r="E694" s="7"/>
      <c r="F694" s="7"/>
      <c r="G694" s="7"/>
      <c r="H694" s="7"/>
      <c r="I694" s="7"/>
      <c r="J694" s="7"/>
      <c r="K694" s="7"/>
      <c r="L694" s="7"/>
      <c r="M694" s="7"/>
      <c r="N694" s="7"/>
      <c r="O694" s="7"/>
      <c r="P694" s="7"/>
      <c r="Q694" s="7"/>
      <c r="R694" s="7"/>
      <c r="S694" s="7"/>
      <c r="T694" s="7"/>
      <c r="U694" s="7"/>
      <c r="V694" s="7"/>
    </row>
    <row r="695" spans="1:22" ht="12.75" customHeight="1">
      <c r="A695" s="7"/>
      <c r="B695" s="7"/>
      <c r="C695" s="8"/>
      <c r="D695" s="66"/>
      <c r="E695" s="7"/>
      <c r="F695" s="7"/>
      <c r="G695" s="7"/>
      <c r="H695" s="7"/>
      <c r="I695" s="7"/>
      <c r="J695" s="7"/>
      <c r="K695" s="7"/>
      <c r="L695" s="7"/>
      <c r="M695" s="7"/>
      <c r="N695" s="7"/>
      <c r="O695" s="7"/>
      <c r="P695" s="7"/>
      <c r="Q695" s="7"/>
      <c r="R695" s="7"/>
      <c r="S695" s="7"/>
      <c r="T695" s="7"/>
      <c r="U695" s="7"/>
      <c r="V695" s="7"/>
    </row>
    <row r="696" spans="1:22" ht="12.75" customHeight="1">
      <c r="A696" s="7"/>
      <c r="B696" s="7"/>
      <c r="C696" s="8"/>
      <c r="D696" s="66"/>
      <c r="E696" s="7"/>
      <c r="F696" s="7"/>
      <c r="G696" s="7"/>
      <c r="H696" s="7"/>
      <c r="I696" s="7"/>
      <c r="J696" s="7"/>
      <c r="K696" s="7"/>
      <c r="L696" s="7"/>
      <c r="M696" s="7"/>
      <c r="N696" s="7"/>
      <c r="O696" s="7"/>
      <c r="P696" s="7"/>
      <c r="Q696" s="7"/>
      <c r="R696" s="7"/>
      <c r="S696" s="7"/>
      <c r="T696" s="7"/>
      <c r="U696" s="7"/>
      <c r="V696" s="7"/>
    </row>
    <row r="697" spans="1:22" ht="12.75" customHeight="1">
      <c r="A697" s="7"/>
      <c r="B697" s="7"/>
      <c r="C697" s="8"/>
      <c r="D697" s="66"/>
      <c r="E697" s="7"/>
      <c r="F697" s="7"/>
      <c r="G697" s="7"/>
      <c r="H697" s="7"/>
      <c r="I697" s="7"/>
      <c r="J697" s="7"/>
      <c r="K697" s="7"/>
      <c r="L697" s="7"/>
      <c r="M697" s="7"/>
      <c r="N697" s="7"/>
      <c r="O697" s="7"/>
      <c r="P697" s="7"/>
      <c r="Q697" s="7"/>
      <c r="R697" s="7"/>
      <c r="S697" s="7"/>
      <c r="T697" s="7"/>
      <c r="U697" s="7"/>
      <c r="V697" s="7"/>
    </row>
    <row r="698" spans="1:22" ht="12.75" customHeight="1">
      <c r="A698" s="7"/>
      <c r="B698" s="7"/>
      <c r="C698" s="8"/>
      <c r="D698" s="66"/>
      <c r="E698" s="7"/>
      <c r="F698" s="7"/>
      <c r="G698" s="7"/>
      <c r="H698" s="7"/>
      <c r="I698" s="7"/>
      <c r="J698" s="7"/>
      <c r="K698" s="7"/>
      <c r="L698" s="7"/>
      <c r="M698" s="7"/>
      <c r="N698" s="7"/>
      <c r="O698" s="7"/>
      <c r="P698" s="7"/>
      <c r="Q698" s="7"/>
      <c r="R698" s="7"/>
      <c r="S698" s="7"/>
      <c r="T698" s="7"/>
      <c r="U698" s="7"/>
      <c r="V698" s="7"/>
    </row>
    <row r="699" spans="1:22" ht="12.75" customHeight="1">
      <c r="A699" s="7"/>
      <c r="B699" s="7"/>
      <c r="C699" s="8"/>
      <c r="D699" s="66"/>
      <c r="E699" s="7"/>
      <c r="F699" s="7"/>
      <c r="G699" s="7"/>
      <c r="H699" s="7"/>
      <c r="I699" s="7"/>
      <c r="J699" s="7"/>
      <c r="K699" s="7"/>
      <c r="L699" s="7"/>
      <c r="M699" s="7"/>
      <c r="N699" s="7"/>
      <c r="O699" s="7"/>
      <c r="P699" s="7"/>
      <c r="Q699" s="7"/>
      <c r="R699" s="7"/>
      <c r="S699" s="7"/>
      <c r="T699" s="7"/>
      <c r="U699" s="7"/>
      <c r="V699" s="7"/>
    </row>
    <row r="700" spans="1:22" ht="12.75" customHeight="1">
      <c r="A700" s="7"/>
      <c r="B700" s="7"/>
      <c r="C700" s="8"/>
      <c r="D700" s="66"/>
      <c r="E700" s="7"/>
      <c r="F700" s="7"/>
      <c r="G700" s="7"/>
      <c r="H700" s="7"/>
      <c r="I700" s="7"/>
      <c r="J700" s="7"/>
      <c r="K700" s="7"/>
      <c r="L700" s="7"/>
      <c r="M700" s="7"/>
      <c r="N700" s="7"/>
      <c r="O700" s="7"/>
      <c r="P700" s="7"/>
      <c r="Q700" s="7"/>
      <c r="R700" s="7"/>
      <c r="S700" s="7"/>
      <c r="T700" s="7"/>
      <c r="U700" s="7"/>
      <c r="V700" s="7"/>
    </row>
    <row r="701" spans="1:22" ht="12.75" customHeight="1">
      <c r="A701" s="7"/>
      <c r="B701" s="7"/>
      <c r="C701" s="8"/>
      <c r="D701" s="66"/>
      <c r="E701" s="7"/>
      <c r="F701" s="7"/>
      <c r="G701" s="7"/>
      <c r="H701" s="7"/>
      <c r="I701" s="7"/>
      <c r="J701" s="7"/>
      <c r="K701" s="7"/>
      <c r="L701" s="7"/>
      <c r="M701" s="7"/>
      <c r="N701" s="7"/>
      <c r="O701" s="7"/>
      <c r="P701" s="7"/>
      <c r="Q701" s="7"/>
      <c r="R701" s="7"/>
      <c r="S701" s="7"/>
      <c r="T701" s="7"/>
      <c r="U701" s="7"/>
      <c r="V701" s="7"/>
    </row>
    <row r="702" spans="1:22" ht="12.75" customHeight="1">
      <c r="A702" s="7"/>
      <c r="B702" s="7"/>
      <c r="C702" s="8"/>
      <c r="D702" s="66"/>
      <c r="E702" s="7"/>
      <c r="F702" s="7"/>
      <c r="G702" s="7"/>
      <c r="H702" s="7"/>
      <c r="I702" s="7"/>
      <c r="J702" s="7"/>
      <c r="K702" s="7"/>
      <c r="L702" s="7"/>
      <c r="M702" s="7"/>
      <c r="N702" s="7"/>
      <c r="O702" s="7"/>
      <c r="P702" s="7"/>
      <c r="Q702" s="7"/>
      <c r="R702" s="7"/>
      <c r="S702" s="7"/>
      <c r="T702" s="7"/>
      <c r="U702" s="7"/>
      <c r="V702" s="7"/>
    </row>
    <row r="703" spans="1:22" ht="12.75" customHeight="1">
      <c r="A703" s="7"/>
      <c r="B703" s="7"/>
      <c r="C703" s="8"/>
      <c r="D703" s="66"/>
      <c r="E703" s="7"/>
      <c r="F703" s="7"/>
      <c r="G703" s="7"/>
      <c r="H703" s="7"/>
      <c r="I703" s="7"/>
      <c r="J703" s="7"/>
      <c r="K703" s="7"/>
      <c r="L703" s="7"/>
      <c r="M703" s="7"/>
      <c r="N703" s="7"/>
      <c r="O703" s="7"/>
      <c r="P703" s="7"/>
      <c r="Q703" s="7"/>
      <c r="R703" s="7"/>
      <c r="S703" s="7"/>
      <c r="T703" s="7"/>
      <c r="U703" s="7"/>
      <c r="V703" s="7"/>
    </row>
    <row r="704" spans="1:22" ht="12.75" customHeight="1">
      <c r="A704" s="7"/>
      <c r="B704" s="7"/>
      <c r="C704" s="8"/>
      <c r="D704" s="66"/>
      <c r="E704" s="7"/>
      <c r="F704" s="7"/>
      <c r="G704" s="7"/>
      <c r="H704" s="7"/>
      <c r="I704" s="7"/>
      <c r="J704" s="7"/>
      <c r="K704" s="7"/>
      <c r="L704" s="7"/>
      <c r="M704" s="7"/>
      <c r="N704" s="7"/>
      <c r="O704" s="7"/>
      <c r="P704" s="7"/>
      <c r="Q704" s="7"/>
      <c r="R704" s="7"/>
      <c r="S704" s="7"/>
      <c r="T704" s="7"/>
      <c r="U704" s="7"/>
      <c r="V704" s="7"/>
    </row>
    <row r="705" spans="1:22" ht="12.75" customHeight="1">
      <c r="A705" s="7"/>
      <c r="B705" s="7"/>
      <c r="C705" s="8"/>
      <c r="D705" s="66"/>
      <c r="E705" s="7"/>
      <c r="F705" s="7"/>
      <c r="G705" s="7"/>
      <c r="H705" s="7"/>
      <c r="I705" s="7"/>
      <c r="J705" s="7"/>
      <c r="K705" s="7"/>
      <c r="L705" s="7"/>
      <c r="M705" s="7"/>
      <c r="N705" s="7"/>
      <c r="O705" s="7"/>
      <c r="P705" s="7"/>
      <c r="Q705" s="7"/>
      <c r="R705" s="7"/>
      <c r="S705" s="7"/>
      <c r="T705" s="7"/>
      <c r="U705" s="7"/>
      <c r="V705" s="7"/>
    </row>
    <row r="706" spans="1:22" ht="12.75" customHeight="1">
      <c r="A706" s="7"/>
      <c r="B706" s="7"/>
      <c r="C706" s="8"/>
      <c r="D706" s="66"/>
      <c r="E706" s="7"/>
      <c r="F706" s="7"/>
      <c r="G706" s="7"/>
      <c r="H706" s="7"/>
      <c r="I706" s="7"/>
      <c r="J706" s="7"/>
      <c r="K706" s="7"/>
      <c r="L706" s="7"/>
      <c r="M706" s="7"/>
      <c r="N706" s="7"/>
      <c r="O706" s="7"/>
      <c r="P706" s="7"/>
      <c r="Q706" s="7"/>
      <c r="R706" s="7"/>
      <c r="S706" s="7"/>
      <c r="T706" s="7"/>
      <c r="U706" s="7"/>
      <c r="V706" s="7"/>
    </row>
    <row r="707" spans="1:22" ht="12.75" customHeight="1">
      <c r="A707" s="7"/>
      <c r="B707" s="7"/>
      <c r="C707" s="8"/>
      <c r="D707" s="66"/>
      <c r="E707" s="7"/>
      <c r="F707" s="7"/>
      <c r="G707" s="7"/>
      <c r="H707" s="7"/>
      <c r="I707" s="7"/>
      <c r="J707" s="7"/>
      <c r="K707" s="7"/>
      <c r="L707" s="7"/>
      <c r="M707" s="7"/>
      <c r="N707" s="7"/>
      <c r="O707" s="7"/>
      <c r="P707" s="7"/>
      <c r="Q707" s="7"/>
      <c r="R707" s="7"/>
      <c r="S707" s="7"/>
      <c r="T707" s="7"/>
      <c r="U707" s="7"/>
      <c r="V707" s="7"/>
    </row>
    <row r="708" spans="1:22" ht="12.75" customHeight="1">
      <c r="A708" s="7"/>
      <c r="B708" s="7"/>
      <c r="C708" s="8"/>
      <c r="D708" s="66"/>
      <c r="E708" s="7"/>
      <c r="F708" s="7"/>
      <c r="G708" s="7"/>
      <c r="H708" s="7"/>
      <c r="I708" s="7"/>
      <c r="J708" s="7"/>
      <c r="K708" s="7"/>
      <c r="L708" s="7"/>
      <c r="M708" s="7"/>
      <c r="N708" s="7"/>
      <c r="O708" s="7"/>
      <c r="P708" s="7"/>
      <c r="Q708" s="7"/>
      <c r="R708" s="7"/>
      <c r="S708" s="7"/>
      <c r="T708" s="7"/>
      <c r="U708" s="7"/>
      <c r="V708" s="7"/>
    </row>
    <row r="709" spans="1:22" ht="12.75" customHeight="1">
      <c r="A709" s="7"/>
      <c r="B709" s="7"/>
      <c r="C709" s="8"/>
      <c r="D709" s="66"/>
      <c r="E709" s="7"/>
      <c r="F709" s="7"/>
      <c r="G709" s="7"/>
      <c r="H709" s="7"/>
      <c r="I709" s="7"/>
      <c r="J709" s="7"/>
      <c r="K709" s="7"/>
      <c r="L709" s="7"/>
      <c r="M709" s="7"/>
      <c r="N709" s="7"/>
      <c r="O709" s="7"/>
      <c r="P709" s="7"/>
      <c r="Q709" s="7"/>
      <c r="R709" s="7"/>
      <c r="S709" s="7"/>
      <c r="T709" s="7"/>
      <c r="U709" s="7"/>
      <c r="V709" s="7"/>
    </row>
    <row r="710" spans="1:22" ht="12.75" customHeight="1">
      <c r="A710" s="7"/>
      <c r="B710" s="7"/>
      <c r="C710" s="8"/>
      <c r="D710" s="66"/>
      <c r="E710" s="7"/>
      <c r="F710" s="7"/>
      <c r="G710" s="7"/>
      <c r="H710" s="7"/>
      <c r="I710" s="7"/>
      <c r="J710" s="7"/>
      <c r="K710" s="7"/>
      <c r="L710" s="7"/>
      <c r="M710" s="7"/>
      <c r="N710" s="7"/>
      <c r="O710" s="7"/>
      <c r="P710" s="7"/>
      <c r="Q710" s="7"/>
      <c r="R710" s="7"/>
      <c r="S710" s="7"/>
      <c r="T710" s="7"/>
      <c r="U710" s="7"/>
      <c r="V710" s="7"/>
    </row>
    <row r="711" spans="1:22" ht="12.75" customHeight="1">
      <c r="A711" s="7"/>
      <c r="B711" s="7"/>
      <c r="C711" s="8"/>
      <c r="D711" s="66"/>
      <c r="E711" s="7"/>
      <c r="F711" s="7"/>
      <c r="G711" s="7"/>
      <c r="H711" s="7"/>
      <c r="I711" s="7"/>
      <c r="J711" s="7"/>
      <c r="K711" s="7"/>
      <c r="L711" s="7"/>
      <c r="M711" s="7"/>
      <c r="N711" s="7"/>
      <c r="O711" s="7"/>
      <c r="P711" s="7"/>
      <c r="Q711" s="7"/>
      <c r="R711" s="7"/>
      <c r="S711" s="7"/>
      <c r="T711" s="7"/>
      <c r="U711" s="7"/>
      <c r="V711" s="7"/>
    </row>
    <row r="712" spans="1:22" ht="12.75" customHeight="1">
      <c r="A712" s="7"/>
      <c r="B712" s="7"/>
      <c r="C712" s="8"/>
      <c r="D712" s="66"/>
      <c r="E712" s="7"/>
      <c r="F712" s="7"/>
      <c r="G712" s="7"/>
      <c r="H712" s="7"/>
      <c r="I712" s="7"/>
      <c r="J712" s="7"/>
      <c r="K712" s="7"/>
      <c r="L712" s="7"/>
      <c r="M712" s="7"/>
      <c r="N712" s="7"/>
      <c r="O712" s="7"/>
      <c r="P712" s="7"/>
      <c r="Q712" s="7"/>
      <c r="R712" s="7"/>
      <c r="S712" s="7"/>
      <c r="T712" s="7"/>
      <c r="U712" s="7"/>
      <c r="V712" s="7"/>
    </row>
    <row r="713" spans="1:22" ht="12.75" customHeight="1">
      <c r="A713" s="7"/>
      <c r="B713" s="7"/>
      <c r="C713" s="8"/>
      <c r="D713" s="66"/>
      <c r="E713" s="7"/>
      <c r="F713" s="7"/>
      <c r="G713" s="7"/>
      <c r="H713" s="7"/>
      <c r="I713" s="7"/>
      <c r="J713" s="7"/>
      <c r="K713" s="7"/>
      <c r="L713" s="7"/>
      <c r="M713" s="7"/>
      <c r="N713" s="7"/>
      <c r="O713" s="7"/>
      <c r="P713" s="7"/>
      <c r="Q713" s="7"/>
      <c r="R713" s="7"/>
      <c r="S713" s="7"/>
      <c r="T713" s="7"/>
      <c r="U713" s="7"/>
      <c r="V713" s="7"/>
    </row>
    <row r="714" spans="1:22" ht="12.75" customHeight="1">
      <c r="A714" s="7"/>
      <c r="B714" s="7"/>
      <c r="C714" s="8"/>
      <c r="D714" s="66"/>
      <c r="E714" s="7"/>
      <c r="F714" s="7"/>
      <c r="G714" s="7"/>
      <c r="H714" s="7"/>
      <c r="I714" s="7"/>
      <c r="J714" s="7"/>
      <c r="K714" s="7"/>
      <c r="L714" s="7"/>
      <c r="M714" s="7"/>
      <c r="N714" s="7"/>
      <c r="O714" s="7"/>
      <c r="P714" s="7"/>
      <c r="Q714" s="7"/>
      <c r="R714" s="7"/>
      <c r="S714" s="7"/>
      <c r="T714" s="7"/>
      <c r="U714" s="7"/>
      <c r="V714" s="7"/>
    </row>
    <row r="715" spans="1:22" ht="12.75" customHeight="1">
      <c r="A715" s="7"/>
      <c r="B715" s="7"/>
      <c r="C715" s="8"/>
      <c r="D715" s="66"/>
      <c r="E715" s="7"/>
      <c r="F715" s="7"/>
      <c r="G715" s="7"/>
      <c r="H715" s="7"/>
      <c r="I715" s="7"/>
      <c r="J715" s="7"/>
      <c r="K715" s="7"/>
      <c r="L715" s="7"/>
      <c r="M715" s="7"/>
      <c r="N715" s="7"/>
      <c r="O715" s="7"/>
      <c r="P715" s="7"/>
      <c r="Q715" s="7"/>
      <c r="R715" s="7"/>
      <c r="S715" s="7"/>
      <c r="T715" s="7"/>
      <c r="U715" s="7"/>
      <c r="V715" s="7"/>
    </row>
    <row r="716" spans="1:22" ht="12.75" customHeight="1">
      <c r="A716" s="7"/>
      <c r="B716" s="7"/>
      <c r="C716" s="8"/>
      <c r="D716" s="66"/>
      <c r="E716" s="7"/>
      <c r="F716" s="7"/>
      <c r="G716" s="7"/>
      <c r="H716" s="7"/>
      <c r="I716" s="7"/>
      <c r="J716" s="7"/>
      <c r="K716" s="7"/>
      <c r="L716" s="7"/>
      <c r="M716" s="7"/>
      <c r="N716" s="7"/>
      <c r="O716" s="7"/>
      <c r="P716" s="7"/>
      <c r="Q716" s="7"/>
      <c r="R716" s="7"/>
      <c r="S716" s="7"/>
      <c r="T716" s="7"/>
      <c r="U716" s="7"/>
      <c r="V716" s="7"/>
    </row>
    <row r="717" spans="1:22" ht="12.75" customHeight="1">
      <c r="A717" s="7"/>
      <c r="B717" s="7"/>
      <c r="C717" s="8"/>
      <c r="D717" s="66"/>
      <c r="E717" s="7"/>
      <c r="F717" s="7"/>
      <c r="G717" s="7"/>
      <c r="H717" s="7"/>
      <c r="I717" s="7"/>
      <c r="J717" s="7"/>
      <c r="K717" s="7"/>
      <c r="L717" s="7"/>
      <c r="M717" s="7"/>
      <c r="N717" s="7"/>
      <c r="O717" s="7"/>
      <c r="P717" s="7"/>
      <c r="Q717" s="7"/>
      <c r="R717" s="7"/>
      <c r="S717" s="7"/>
      <c r="T717" s="7"/>
      <c r="U717" s="7"/>
      <c r="V717" s="7"/>
    </row>
    <row r="718" spans="1:22" ht="12.75" customHeight="1">
      <c r="A718" s="7"/>
      <c r="B718" s="7"/>
      <c r="C718" s="8"/>
      <c r="D718" s="66"/>
      <c r="E718" s="7"/>
      <c r="F718" s="7"/>
      <c r="G718" s="7"/>
      <c r="H718" s="7"/>
      <c r="I718" s="7"/>
      <c r="J718" s="7"/>
      <c r="K718" s="7"/>
      <c r="L718" s="7"/>
      <c r="M718" s="7"/>
      <c r="N718" s="7"/>
      <c r="O718" s="7"/>
      <c r="P718" s="7"/>
      <c r="Q718" s="7"/>
      <c r="R718" s="7"/>
      <c r="S718" s="7"/>
      <c r="T718" s="7"/>
      <c r="U718" s="7"/>
      <c r="V718" s="7"/>
    </row>
    <row r="719" spans="1:22" ht="12.75" customHeight="1">
      <c r="A719" s="7"/>
      <c r="B719" s="7"/>
      <c r="C719" s="8"/>
      <c r="D719" s="66"/>
      <c r="E719" s="7"/>
      <c r="F719" s="7"/>
      <c r="G719" s="7"/>
      <c r="H719" s="7"/>
      <c r="I719" s="7"/>
      <c r="J719" s="7"/>
      <c r="K719" s="7"/>
      <c r="L719" s="7"/>
      <c r="M719" s="7"/>
      <c r="N719" s="7"/>
      <c r="O719" s="7"/>
      <c r="P719" s="7"/>
      <c r="Q719" s="7"/>
      <c r="R719" s="7"/>
      <c r="S719" s="7"/>
      <c r="T719" s="7"/>
      <c r="U719" s="7"/>
      <c r="V719" s="7"/>
    </row>
    <row r="720" spans="1:22" ht="12.75" customHeight="1">
      <c r="A720" s="7"/>
      <c r="B720" s="7"/>
      <c r="C720" s="8"/>
      <c r="D720" s="66"/>
      <c r="E720" s="7"/>
      <c r="F720" s="7"/>
      <c r="G720" s="7"/>
      <c r="H720" s="7"/>
      <c r="I720" s="7"/>
      <c r="J720" s="7"/>
      <c r="K720" s="7"/>
      <c r="L720" s="7"/>
      <c r="M720" s="7"/>
      <c r="N720" s="7"/>
      <c r="O720" s="7"/>
      <c r="P720" s="7"/>
      <c r="Q720" s="7"/>
      <c r="R720" s="7"/>
      <c r="S720" s="7"/>
      <c r="T720" s="7"/>
      <c r="U720" s="7"/>
      <c r="V720" s="7"/>
    </row>
    <row r="721" spans="1:22" ht="12.75" customHeight="1">
      <c r="A721" s="7"/>
      <c r="B721" s="7"/>
      <c r="C721" s="8"/>
      <c r="D721" s="66"/>
      <c r="E721" s="7"/>
      <c r="F721" s="7"/>
      <c r="G721" s="7"/>
      <c r="H721" s="7"/>
      <c r="I721" s="7"/>
      <c r="J721" s="7"/>
      <c r="K721" s="7"/>
      <c r="L721" s="7"/>
      <c r="M721" s="7"/>
      <c r="N721" s="7"/>
      <c r="O721" s="7"/>
      <c r="P721" s="7"/>
      <c r="Q721" s="7"/>
      <c r="R721" s="7"/>
      <c r="S721" s="7"/>
      <c r="T721" s="7"/>
      <c r="U721" s="7"/>
      <c r="V721" s="7"/>
    </row>
    <row r="722" spans="1:22" ht="12.75" customHeight="1">
      <c r="A722" s="7"/>
      <c r="B722" s="7"/>
      <c r="C722" s="8"/>
      <c r="D722" s="66"/>
      <c r="E722" s="7"/>
      <c r="F722" s="7"/>
      <c r="G722" s="7"/>
      <c r="H722" s="7"/>
      <c r="I722" s="7"/>
      <c r="J722" s="7"/>
      <c r="K722" s="7"/>
      <c r="L722" s="7"/>
      <c r="M722" s="7"/>
      <c r="N722" s="7"/>
      <c r="O722" s="7"/>
      <c r="P722" s="7"/>
      <c r="Q722" s="7"/>
      <c r="R722" s="7"/>
      <c r="S722" s="7"/>
      <c r="T722" s="7"/>
      <c r="U722" s="7"/>
      <c r="V722" s="7"/>
    </row>
    <row r="723" spans="1:22" ht="12.75" customHeight="1">
      <c r="A723" s="7"/>
      <c r="B723" s="7"/>
      <c r="C723" s="8"/>
      <c r="D723" s="66"/>
      <c r="E723" s="7"/>
      <c r="F723" s="7"/>
      <c r="G723" s="7"/>
      <c r="H723" s="7"/>
      <c r="I723" s="7"/>
      <c r="J723" s="7"/>
      <c r="K723" s="7"/>
      <c r="L723" s="7"/>
      <c r="M723" s="7"/>
      <c r="N723" s="7"/>
      <c r="O723" s="7"/>
      <c r="P723" s="7"/>
      <c r="Q723" s="7"/>
      <c r="R723" s="7"/>
      <c r="S723" s="7"/>
      <c r="T723" s="7"/>
      <c r="U723" s="7"/>
      <c r="V723" s="7"/>
    </row>
    <row r="724" spans="1:22" ht="12.75" customHeight="1">
      <c r="A724" s="7"/>
      <c r="B724" s="7"/>
      <c r="C724" s="8"/>
      <c r="D724" s="66"/>
      <c r="E724" s="7"/>
      <c r="F724" s="7"/>
      <c r="G724" s="7"/>
      <c r="H724" s="7"/>
      <c r="I724" s="7"/>
      <c r="J724" s="7"/>
      <c r="K724" s="7"/>
      <c r="L724" s="7"/>
      <c r="M724" s="7"/>
      <c r="N724" s="7"/>
      <c r="O724" s="7"/>
      <c r="P724" s="7"/>
      <c r="Q724" s="7"/>
      <c r="R724" s="7"/>
      <c r="S724" s="7"/>
      <c r="T724" s="7"/>
      <c r="U724" s="7"/>
      <c r="V724" s="7"/>
    </row>
    <row r="725" spans="1:22" ht="12.75" customHeight="1">
      <c r="A725" s="7"/>
      <c r="B725" s="7"/>
      <c r="C725" s="8"/>
      <c r="D725" s="66"/>
      <c r="E725" s="7"/>
      <c r="F725" s="7"/>
      <c r="G725" s="7"/>
      <c r="H725" s="7"/>
      <c r="I725" s="7"/>
      <c r="J725" s="7"/>
      <c r="K725" s="7"/>
      <c r="L725" s="7"/>
      <c r="M725" s="7"/>
      <c r="N725" s="7"/>
      <c r="O725" s="7"/>
      <c r="P725" s="7"/>
      <c r="Q725" s="7"/>
      <c r="R725" s="7"/>
      <c r="S725" s="7"/>
      <c r="T725" s="7"/>
      <c r="U725" s="7"/>
      <c r="V725" s="7"/>
    </row>
    <row r="726" spans="1:22" ht="12.75" customHeight="1">
      <c r="A726" s="7"/>
      <c r="B726" s="7"/>
      <c r="C726" s="8"/>
      <c r="D726" s="66"/>
      <c r="E726" s="7"/>
      <c r="F726" s="7"/>
      <c r="G726" s="7"/>
      <c r="H726" s="7"/>
      <c r="I726" s="7"/>
      <c r="J726" s="7"/>
      <c r="K726" s="7"/>
      <c r="L726" s="7"/>
      <c r="M726" s="7"/>
      <c r="N726" s="7"/>
      <c r="O726" s="7"/>
      <c r="P726" s="7"/>
      <c r="Q726" s="7"/>
      <c r="R726" s="7"/>
      <c r="S726" s="7"/>
      <c r="T726" s="7"/>
      <c r="U726" s="7"/>
      <c r="V726" s="7"/>
    </row>
    <row r="727" spans="1:22" ht="12.75" customHeight="1">
      <c r="A727" s="7"/>
      <c r="B727" s="7"/>
      <c r="C727" s="8"/>
      <c r="D727" s="66"/>
      <c r="E727" s="7"/>
      <c r="F727" s="7"/>
      <c r="G727" s="7"/>
      <c r="H727" s="7"/>
      <c r="I727" s="7"/>
      <c r="J727" s="7"/>
      <c r="K727" s="7"/>
      <c r="L727" s="7"/>
      <c r="M727" s="7"/>
      <c r="N727" s="7"/>
      <c r="O727" s="7"/>
      <c r="P727" s="7"/>
      <c r="Q727" s="7"/>
      <c r="R727" s="7"/>
      <c r="S727" s="7"/>
      <c r="T727" s="7"/>
      <c r="U727" s="7"/>
      <c r="V727" s="7"/>
    </row>
    <row r="728" spans="1:22" ht="12.75" customHeight="1">
      <c r="A728" s="7"/>
      <c r="B728" s="7"/>
      <c r="C728" s="8"/>
      <c r="D728" s="66"/>
      <c r="E728" s="7"/>
      <c r="F728" s="7"/>
      <c r="G728" s="7"/>
      <c r="H728" s="7"/>
      <c r="I728" s="7"/>
      <c r="J728" s="7"/>
      <c r="K728" s="7"/>
      <c r="L728" s="7"/>
      <c r="M728" s="7"/>
      <c r="N728" s="7"/>
      <c r="O728" s="7"/>
      <c r="P728" s="7"/>
      <c r="Q728" s="7"/>
      <c r="R728" s="7"/>
      <c r="S728" s="7"/>
      <c r="T728" s="7"/>
      <c r="U728" s="7"/>
      <c r="V728" s="7"/>
    </row>
    <row r="729" spans="1:22" ht="12.75" customHeight="1">
      <c r="A729" s="7"/>
      <c r="B729" s="7"/>
      <c r="C729" s="8"/>
      <c r="D729" s="66"/>
      <c r="E729" s="7"/>
      <c r="F729" s="7"/>
      <c r="G729" s="7"/>
      <c r="H729" s="7"/>
      <c r="I729" s="7"/>
      <c r="J729" s="7"/>
      <c r="K729" s="7"/>
      <c r="L729" s="7"/>
      <c r="M729" s="7"/>
      <c r="N729" s="7"/>
      <c r="O729" s="7"/>
      <c r="P729" s="7"/>
      <c r="Q729" s="7"/>
      <c r="R729" s="7"/>
      <c r="S729" s="7"/>
      <c r="T729" s="7"/>
      <c r="U729" s="7"/>
      <c r="V729" s="7"/>
    </row>
    <row r="730" spans="1:22" ht="12.75" customHeight="1">
      <c r="A730" s="7"/>
      <c r="B730" s="7"/>
      <c r="C730" s="8"/>
      <c r="D730" s="66"/>
      <c r="E730" s="7"/>
      <c r="F730" s="7"/>
      <c r="G730" s="7"/>
      <c r="H730" s="7"/>
      <c r="I730" s="7"/>
      <c r="J730" s="7"/>
      <c r="K730" s="7"/>
      <c r="L730" s="7"/>
      <c r="M730" s="7"/>
      <c r="N730" s="7"/>
      <c r="O730" s="7"/>
      <c r="P730" s="7"/>
      <c r="Q730" s="7"/>
      <c r="R730" s="7"/>
      <c r="S730" s="7"/>
      <c r="T730" s="7"/>
      <c r="U730" s="7"/>
      <c r="V730" s="7"/>
    </row>
    <row r="731" spans="1:22" ht="12.75" customHeight="1">
      <c r="A731" s="7"/>
      <c r="B731" s="7"/>
      <c r="C731" s="8"/>
      <c r="D731" s="66"/>
      <c r="E731" s="7"/>
      <c r="F731" s="7"/>
      <c r="G731" s="7"/>
      <c r="H731" s="7"/>
      <c r="I731" s="7"/>
      <c r="J731" s="7"/>
      <c r="K731" s="7"/>
      <c r="L731" s="7"/>
      <c r="M731" s="7"/>
      <c r="N731" s="7"/>
      <c r="O731" s="7"/>
      <c r="P731" s="7"/>
      <c r="Q731" s="7"/>
      <c r="R731" s="7"/>
      <c r="S731" s="7"/>
      <c r="T731" s="7"/>
      <c r="U731" s="7"/>
      <c r="V731" s="7"/>
    </row>
    <row r="732" spans="1:22" ht="12.75" customHeight="1">
      <c r="A732" s="7"/>
      <c r="B732" s="7"/>
      <c r="C732" s="8"/>
      <c r="D732" s="66"/>
      <c r="E732" s="7"/>
      <c r="F732" s="7"/>
      <c r="G732" s="7"/>
      <c r="H732" s="7"/>
      <c r="I732" s="7"/>
      <c r="J732" s="7"/>
      <c r="K732" s="7"/>
      <c r="L732" s="7"/>
      <c r="M732" s="7"/>
      <c r="N732" s="7"/>
      <c r="O732" s="7"/>
      <c r="P732" s="7"/>
      <c r="Q732" s="7"/>
      <c r="R732" s="7"/>
      <c r="S732" s="7"/>
      <c r="T732" s="7"/>
      <c r="U732" s="7"/>
      <c r="V732" s="7"/>
    </row>
    <row r="733" spans="1:22" ht="12.75" customHeight="1">
      <c r="A733" s="7"/>
      <c r="B733" s="7"/>
      <c r="C733" s="8"/>
      <c r="D733" s="66"/>
      <c r="E733" s="7"/>
      <c r="F733" s="7"/>
      <c r="G733" s="7"/>
      <c r="H733" s="7"/>
      <c r="I733" s="7"/>
      <c r="J733" s="7"/>
      <c r="K733" s="7"/>
      <c r="L733" s="7"/>
      <c r="M733" s="7"/>
      <c r="N733" s="7"/>
      <c r="O733" s="7"/>
      <c r="P733" s="7"/>
      <c r="Q733" s="7"/>
      <c r="R733" s="7"/>
      <c r="S733" s="7"/>
      <c r="T733" s="7"/>
      <c r="U733" s="7"/>
      <c r="V733" s="7"/>
    </row>
    <row r="734" spans="1:22" ht="12.75" customHeight="1">
      <c r="A734" s="7"/>
      <c r="B734" s="7"/>
      <c r="C734" s="8"/>
      <c r="D734" s="66"/>
      <c r="E734" s="7"/>
      <c r="F734" s="7"/>
      <c r="G734" s="7"/>
      <c r="H734" s="7"/>
      <c r="I734" s="7"/>
      <c r="J734" s="7"/>
      <c r="K734" s="7"/>
      <c r="L734" s="7"/>
      <c r="M734" s="7"/>
      <c r="N734" s="7"/>
      <c r="O734" s="7"/>
      <c r="P734" s="7"/>
      <c r="Q734" s="7"/>
      <c r="R734" s="7"/>
      <c r="S734" s="7"/>
      <c r="T734" s="7"/>
      <c r="U734" s="7"/>
      <c r="V734" s="7"/>
    </row>
    <row r="735" spans="1:22" ht="12.75" customHeight="1">
      <c r="A735" s="7"/>
      <c r="B735" s="7"/>
      <c r="C735" s="8"/>
      <c r="D735" s="66"/>
      <c r="E735" s="7"/>
      <c r="F735" s="7"/>
      <c r="G735" s="7"/>
      <c r="H735" s="7"/>
      <c r="I735" s="7"/>
      <c r="J735" s="7"/>
      <c r="K735" s="7"/>
      <c r="L735" s="7"/>
      <c r="M735" s="7"/>
      <c r="N735" s="7"/>
      <c r="O735" s="7"/>
      <c r="P735" s="7"/>
      <c r="Q735" s="7"/>
      <c r="R735" s="7"/>
      <c r="S735" s="7"/>
      <c r="T735" s="7"/>
      <c r="U735" s="7"/>
      <c r="V735" s="7"/>
    </row>
    <row r="736" spans="1:22" ht="12.75" customHeight="1">
      <c r="A736" s="7"/>
      <c r="B736" s="7"/>
      <c r="C736" s="8"/>
      <c r="D736" s="66"/>
      <c r="E736" s="7"/>
      <c r="F736" s="7"/>
      <c r="G736" s="7"/>
      <c r="H736" s="7"/>
      <c r="I736" s="7"/>
      <c r="J736" s="7"/>
      <c r="K736" s="7"/>
      <c r="L736" s="7"/>
      <c r="M736" s="7"/>
      <c r="N736" s="7"/>
      <c r="O736" s="7"/>
      <c r="P736" s="7"/>
      <c r="Q736" s="7"/>
      <c r="R736" s="7"/>
      <c r="S736" s="7"/>
      <c r="T736" s="7"/>
      <c r="U736" s="7"/>
      <c r="V736" s="7"/>
    </row>
    <row r="737" spans="1:22" ht="12.75" customHeight="1">
      <c r="A737" s="7"/>
      <c r="B737" s="7"/>
      <c r="C737" s="8"/>
      <c r="D737" s="66"/>
      <c r="E737" s="7"/>
      <c r="F737" s="7"/>
      <c r="G737" s="7"/>
      <c r="H737" s="7"/>
      <c r="I737" s="7"/>
      <c r="J737" s="7"/>
      <c r="K737" s="7"/>
      <c r="L737" s="7"/>
      <c r="M737" s="7"/>
      <c r="N737" s="7"/>
      <c r="O737" s="7"/>
      <c r="P737" s="7"/>
      <c r="Q737" s="7"/>
      <c r="R737" s="7"/>
      <c r="S737" s="7"/>
      <c r="T737" s="7"/>
      <c r="U737" s="7"/>
      <c r="V737" s="7"/>
    </row>
    <row r="738" spans="1:22" ht="12.75" customHeight="1">
      <c r="A738" s="7"/>
      <c r="B738" s="7"/>
      <c r="C738" s="8"/>
      <c r="D738" s="66"/>
      <c r="E738" s="7"/>
      <c r="F738" s="7"/>
      <c r="G738" s="7"/>
      <c r="H738" s="7"/>
      <c r="I738" s="7"/>
      <c r="J738" s="7"/>
      <c r="K738" s="7"/>
      <c r="L738" s="7"/>
      <c r="M738" s="7"/>
      <c r="N738" s="7"/>
      <c r="O738" s="7"/>
      <c r="P738" s="7"/>
      <c r="Q738" s="7"/>
      <c r="R738" s="7"/>
      <c r="S738" s="7"/>
      <c r="T738" s="7"/>
      <c r="U738" s="7"/>
      <c r="V738" s="7"/>
    </row>
    <row r="739" spans="1:22" ht="12.75" customHeight="1">
      <c r="A739" s="7"/>
      <c r="B739" s="7"/>
      <c r="C739" s="8"/>
      <c r="D739" s="66"/>
      <c r="E739" s="7"/>
      <c r="F739" s="7"/>
      <c r="G739" s="7"/>
      <c r="H739" s="7"/>
      <c r="I739" s="7"/>
      <c r="J739" s="7"/>
      <c r="K739" s="7"/>
      <c r="L739" s="7"/>
      <c r="M739" s="7"/>
      <c r="N739" s="7"/>
      <c r="O739" s="7"/>
      <c r="P739" s="7"/>
      <c r="Q739" s="7"/>
      <c r="R739" s="7"/>
      <c r="S739" s="7"/>
      <c r="T739" s="7"/>
      <c r="U739" s="7"/>
      <c r="V739" s="7"/>
    </row>
    <row r="740" spans="1:22" ht="12.75" customHeight="1">
      <c r="A740" s="7"/>
      <c r="B740" s="7"/>
      <c r="C740" s="8"/>
      <c r="D740" s="66"/>
      <c r="E740" s="7"/>
      <c r="F740" s="7"/>
      <c r="G740" s="7"/>
      <c r="H740" s="7"/>
      <c r="I740" s="7"/>
      <c r="J740" s="7"/>
      <c r="K740" s="7"/>
      <c r="L740" s="7"/>
      <c r="M740" s="7"/>
      <c r="N740" s="7"/>
      <c r="O740" s="7"/>
      <c r="P740" s="7"/>
      <c r="Q740" s="7"/>
      <c r="R740" s="7"/>
      <c r="S740" s="7"/>
      <c r="T740" s="7"/>
      <c r="U740" s="7"/>
      <c r="V740" s="7"/>
    </row>
    <row r="741" spans="1:22" ht="12.75" customHeight="1">
      <c r="A741" s="7"/>
      <c r="B741" s="7"/>
      <c r="C741" s="8"/>
      <c r="D741" s="66"/>
      <c r="E741" s="7"/>
      <c r="F741" s="7"/>
      <c r="G741" s="7"/>
      <c r="H741" s="7"/>
      <c r="I741" s="7"/>
      <c r="J741" s="7"/>
      <c r="K741" s="7"/>
      <c r="L741" s="7"/>
      <c r="M741" s="7"/>
      <c r="N741" s="7"/>
      <c r="O741" s="7"/>
      <c r="P741" s="7"/>
      <c r="Q741" s="7"/>
      <c r="R741" s="7"/>
      <c r="S741" s="7"/>
      <c r="T741" s="7"/>
      <c r="U741" s="7"/>
      <c r="V741" s="7"/>
    </row>
    <row r="742" spans="1:22" ht="12.75" customHeight="1">
      <c r="A742" s="7"/>
      <c r="B742" s="7"/>
      <c r="C742" s="8"/>
      <c r="D742" s="66"/>
      <c r="E742" s="7"/>
      <c r="F742" s="7"/>
      <c r="G742" s="7"/>
      <c r="H742" s="7"/>
      <c r="I742" s="7"/>
      <c r="J742" s="7"/>
      <c r="K742" s="7"/>
      <c r="L742" s="7"/>
      <c r="M742" s="7"/>
      <c r="N742" s="7"/>
      <c r="O742" s="7"/>
      <c r="P742" s="7"/>
      <c r="Q742" s="7"/>
      <c r="R742" s="7"/>
      <c r="S742" s="7"/>
      <c r="T742" s="7"/>
      <c r="U742" s="7"/>
      <c r="V742" s="7"/>
    </row>
    <row r="743" spans="1:22" ht="12.75" customHeight="1">
      <c r="A743" s="7"/>
      <c r="B743" s="7"/>
      <c r="C743" s="8"/>
      <c r="D743" s="66"/>
      <c r="E743" s="7"/>
      <c r="F743" s="7"/>
      <c r="G743" s="7"/>
      <c r="H743" s="7"/>
      <c r="I743" s="7"/>
      <c r="J743" s="7"/>
      <c r="K743" s="7"/>
      <c r="L743" s="7"/>
      <c r="M743" s="7"/>
      <c r="N743" s="7"/>
      <c r="O743" s="7"/>
      <c r="P743" s="7"/>
      <c r="Q743" s="7"/>
      <c r="R743" s="7"/>
      <c r="S743" s="7"/>
      <c r="T743" s="7"/>
      <c r="U743" s="7"/>
      <c r="V743" s="7"/>
    </row>
    <row r="744" spans="1:22" ht="12.75" customHeight="1">
      <c r="A744" s="7"/>
      <c r="B744" s="7"/>
      <c r="C744" s="8"/>
      <c r="D744" s="66"/>
      <c r="E744" s="7"/>
      <c r="F744" s="7"/>
      <c r="G744" s="7"/>
      <c r="H744" s="7"/>
      <c r="I744" s="7"/>
      <c r="J744" s="7"/>
      <c r="K744" s="7"/>
      <c r="L744" s="7"/>
      <c r="M744" s="7"/>
      <c r="N744" s="7"/>
      <c r="O744" s="7"/>
      <c r="P744" s="7"/>
      <c r="Q744" s="7"/>
      <c r="R744" s="7"/>
      <c r="S744" s="7"/>
      <c r="T744" s="7"/>
      <c r="U744" s="7"/>
      <c r="V744" s="7"/>
    </row>
    <row r="745" spans="1:22" ht="12.75" customHeight="1">
      <c r="A745" s="7"/>
      <c r="B745" s="7"/>
      <c r="C745" s="8"/>
      <c r="D745" s="66"/>
      <c r="E745" s="7"/>
      <c r="F745" s="7"/>
      <c r="G745" s="7"/>
      <c r="H745" s="7"/>
      <c r="I745" s="7"/>
      <c r="J745" s="7"/>
      <c r="K745" s="7"/>
      <c r="L745" s="7"/>
      <c r="M745" s="7"/>
      <c r="N745" s="7"/>
      <c r="O745" s="7"/>
      <c r="P745" s="7"/>
      <c r="Q745" s="7"/>
      <c r="R745" s="7"/>
      <c r="S745" s="7"/>
      <c r="T745" s="7"/>
      <c r="U745" s="7"/>
      <c r="V745" s="7"/>
    </row>
    <row r="746" spans="1:22" ht="12.75" customHeight="1">
      <c r="A746" s="7"/>
      <c r="B746" s="7"/>
      <c r="C746" s="8"/>
      <c r="D746" s="66"/>
      <c r="E746" s="7"/>
      <c r="F746" s="7"/>
      <c r="G746" s="7"/>
      <c r="H746" s="7"/>
      <c r="I746" s="7"/>
      <c r="J746" s="7"/>
      <c r="K746" s="7"/>
      <c r="L746" s="7"/>
      <c r="M746" s="7"/>
      <c r="N746" s="7"/>
      <c r="O746" s="7"/>
      <c r="P746" s="7"/>
      <c r="Q746" s="7"/>
      <c r="R746" s="7"/>
      <c r="S746" s="7"/>
      <c r="T746" s="7"/>
      <c r="U746" s="7"/>
      <c r="V746" s="7"/>
    </row>
    <row r="747" spans="1:22" ht="12.75" customHeight="1">
      <c r="A747" s="7"/>
      <c r="B747" s="7"/>
      <c r="C747" s="8"/>
      <c r="D747" s="66"/>
      <c r="E747" s="7"/>
      <c r="F747" s="7"/>
      <c r="G747" s="7"/>
      <c r="H747" s="7"/>
      <c r="I747" s="7"/>
      <c r="J747" s="7"/>
      <c r="K747" s="7"/>
      <c r="L747" s="7"/>
      <c r="M747" s="7"/>
      <c r="N747" s="7"/>
      <c r="O747" s="7"/>
      <c r="P747" s="7"/>
      <c r="Q747" s="7"/>
      <c r="R747" s="7"/>
      <c r="S747" s="7"/>
      <c r="T747" s="7"/>
      <c r="U747" s="7"/>
      <c r="V747" s="7"/>
    </row>
    <row r="748" spans="1:22" ht="12.75" customHeight="1">
      <c r="A748" s="7"/>
      <c r="B748" s="7"/>
      <c r="C748" s="8"/>
      <c r="D748" s="66"/>
      <c r="E748" s="7"/>
      <c r="F748" s="7"/>
      <c r="G748" s="7"/>
      <c r="H748" s="7"/>
      <c r="I748" s="7"/>
      <c r="J748" s="7"/>
      <c r="K748" s="7"/>
      <c r="L748" s="7"/>
      <c r="M748" s="7"/>
      <c r="N748" s="7"/>
      <c r="O748" s="7"/>
      <c r="P748" s="7"/>
      <c r="Q748" s="7"/>
      <c r="R748" s="7"/>
      <c r="S748" s="7"/>
      <c r="T748" s="7"/>
      <c r="U748" s="7"/>
      <c r="V748" s="7"/>
    </row>
    <row r="749" spans="1:22" ht="12.75" customHeight="1">
      <c r="A749" s="7"/>
      <c r="B749" s="7"/>
      <c r="C749" s="8"/>
      <c r="D749" s="66"/>
      <c r="E749" s="7"/>
      <c r="F749" s="7"/>
      <c r="G749" s="7"/>
      <c r="H749" s="7"/>
      <c r="I749" s="7"/>
      <c r="J749" s="7"/>
      <c r="K749" s="7"/>
      <c r="L749" s="7"/>
      <c r="M749" s="7"/>
      <c r="N749" s="7"/>
      <c r="O749" s="7"/>
      <c r="P749" s="7"/>
      <c r="Q749" s="7"/>
      <c r="R749" s="7"/>
      <c r="S749" s="7"/>
      <c r="T749" s="7"/>
      <c r="U749" s="7"/>
      <c r="V749" s="7"/>
    </row>
    <row r="750" spans="1:22" ht="12.75" customHeight="1">
      <c r="A750" s="7"/>
      <c r="B750" s="7"/>
      <c r="C750" s="8"/>
      <c r="D750" s="66"/>
      <c r="E750" s="7"/>
      <c r="F750" s="7"/>
      <c r="G750" s="7"/>
      <c r="H750" s="7"/>
      <c r="I750" s="7"/>
      <c r="J750" s="7"/>
      <c r="K750" s="7"/>
      <c r="L750" s="7"/>
      <c r="M750" s="7"/>
      <c r="N750" s="7"/>
      <c r="O750" s="7"/>
      <c r="P750" s="7"/>
      <c r="Q750" s="7"/>
      <c r="R750" s="7"/>
      <c r="S750" s="7"/>
      <c r="T750" s="7"/>
      <c r="U750" s="7"/>
      <c r="V750" s="7"/>
    </row>
    <row r="751" spans="1:22" ht="12.75" customHeight="1">
      <c r="A751" s="7"/>
      <c r="B751" s="7"/>
      <c r="C751" s="8"/>
      <c r="D751" s="66"/>
      <c r="E751" s="7"/>
      <c r="F751" s="7"/>
      <c r="G751" s="7"/>
      <c r="H751" s="7"/>
      <c r="I751" s="7"/>
      <c r="J751" s="7"/>
      <c r="K751" s="7"/>
      <c r="L751" s="7"/>
      <c r="M751" s="7"/>
      <c r="N751" s="7"/>
      <c r="O751" s="7"/>
      <c r="P751" s="7"/>
      <c r="Q751" s="7"/>
      <c r="R751" s="7"/>
      <c r="S751" s="7"/>
      <c r="T751" s="7"/>
      <c r="U751" s="7"/>
      <c r="V751" s="7"/>
    </row>
    <row r="752" spans="1:22" ht="12.75" customHeight="1">
      <c r="A752" s="7"/>
      <c r="B752" s="7"/>
      <c r="C752" s="8"/>
      <c r="D752" s="66"/>
      <c r="E752" s="7"/>
      <c r="F752" s="7"/>
      <c r="G752" s="7"/>
      <c r="H752" s="7"/>
      <c r="I752" s="7"/>
      <c r="J752" s="7"/>
      <c r="K752" s="7"/>
      <c r="L752" s="7"/>
      <c r="M752" s="7"/>
      <c r="N752" s="7"/>
      <c r="O752" s="7"/>
      <c r="P752" s="7"/>
      <c r="Q752" s="7"/>
      <c r="R752" s="7"/>
      <c r="S752" s="7"/>
      <c r="T752" s="7"/>
      <c r="U752" s="7"/>
      <c r="V752" s="7"/>
    </row>
    <row r="753" spans="1:22" ht="12.75" customHeight="1">
      <c r="A753" s="7"/>
      <c r="B753" s="7"/>
      <c r="C753" s="8"/>
      <c r="D753" s="66"/>
      <c r="E753" s="7"/>
      <c r="F753" s="7"/>
      <c r="G753" s="7"/>
      <c r="H753" s="7"/>
      <c r="I753" s="7"/>
      <c r="J753" s="7"/>
      <c r="K753" s="7"/>
      <c r="L753" s="7"/>
      <c r="M753" s="7"/>
      <c r="N753" s="7"/>
      <c r="O753" s="7"/>
      <c r="P753" s="7"/>
      <c r="Q753" s="7"/>
      <c r="R753" s="7"/>
      <c r="S753" s="7"/>
      <c r="T753" s="7"/>
      <c r="U753" s="7"/>
      <c r="V753" s="7"/>
    </row>
    <row r="754" spans="1:22" ht="12.75" customHeight="1">
      <c r="A754" s="7"/>
      <c r="B754" s="7"/>
      <c r="C754" s="8"/>
      <c r="D754" s="66"/>
      <c r="E754" s="7"/>
      <c r="F754" s="7"/>
      <c r="G754" s="7"/>
      <c r="H754" s="7"/>
      <c r="I754" s="7"/>
      <c r="J754" s="7"/>
      <c r="K754" s="7"/>
      <c r="L754" s="7"/>
      <c r="M754" s="7"/>
      <c r="N754" s="7"/>
      <c r="O754" s="7"/>
      <c r="P754" s="7"/>
      <c r="Q754" s="7"/>
      <c r="R754" s="7"/>
      <c r="S754" s="7"/>
      <c r="T754" s="7"/>
      <c r="U754" s="7"/>
      <c r="V754" s="7"/>
    </row>
    <row r="755" spans="1:22" ht="12.75" customHeight="1">
      <c r="A755" s="7"/>
      <c r="B755" s="7"/>
      <c r="C755" s="8"/>
      <c r="D755" s="66"/>
      <c r="E755" s="7"/>
      <c r="F755" s="7"/>
      <c r="G755" s="7"/>
      <c r="H755" s="7"/>
      <c r="I755" s="7"/>
      <c r="J755" s="7"/>
      <c r="K755" s="7"/>
      <c r="L755" s="7"/>
      <c r="M755" s="7"/>
      <c r="N755" s="7"/>
      <c r="O755" s="7"/>
      <c r="P755" s="7"/>
      <c r="Q755" s="7"/>
      <c r="R755" s="7"/>
      <c r="S755" s="7"/>
      <c r="T755" s="7"/>
      <c r="U755" s="7"/>
      <c r="V755" s="7"/>
    </row>
    <row r="756" spans="1:22" ht="12.75" customHeight="1">
      <c r="A756" s="7"/>
      <c r="B756" s="7"/>
      <c r="C756" s="8"/>
      <c r="D756" s="66"/>
      <c r="E756" s="7"/>
      <c r="F756" s="7"/>
      <c r="G756" s="7"/>
      <c r="H756" s="7"/>
      <c r="I756" s="7"/>
      <c r="J756" s="7"/>
      <c r="K756" s="7"/>
      <c r="L756" s="7"/>
      <c r="M756" s="7"/>
      <c r="N756" s="7"/>
      <c r="O756" s="7"/>
      <c r="P756" s="7"/>
      <c r="Q756" s="7"/>
      <c r="R756" s="7"/>
      <c r="S756" s="7"/>
      <c r="T756" s="7"/>
      <c r="U756" s="7"/>
      <c r="V756" s="7"/>
    </row>
    <row r="757" spans="1:22" ht="12.75" customHeight="1">
      <c r="A757" s="7"/>
      <c r="B757" s="7"/>
      <c r="C757" s="8"/>
      <c r="D757" s="66"/>
      <c r="E757" s="7"/>
      <c r="F757" s="7"/>
      <c r="G757" s="7"/>
      <c r="H757" s="7"/>
      <c r="I757" s="7"/>
      <c r="J757" s="7"/>
      <c r="K757" s="7"/>
      <c r="L757" s="7"/>
      <c r="M757" s="7"/>
      <c r="N757" s="7"/>
      <c r="O757" s="7"/>
      <c r="P757" s="7"/>
      <c r="Q757" s="7"/>
      <c r="R757" s="7"/>
      <c r="S757" s="7"/>
      <c r="T757" s="7"/>
      <c r="U757" s="7"/>
      <c r="V757" s="7"/>
    </row>
    <row r="758" spans="1:22" ht="12.75" customHeight="1">
      <c r="A758" s="7"/>
      <c r="B758" s="7"/>
      <c r="C758" s="8"/>
      <c r="D758" s="66"/>
      <c r="E758" s="7"/>
      <c r="F758" s="7"/>
      <c r="G758" s="7"/>
      <c r="H758" s="7"/>
      <c r="I758" s="7"/>
      <c r="J758" s="7"/>
      <c r="K758" s="7"/>
      <c r="L758" s="7"/>
      <c r="M758" s="7"/>
      <c r="N758" s="7"/>
      <c r="O758" s="7"/>
      <c r="P758" s="7"/>
      <c r="Q758" s="7"/>
      <c r="R758" s="7"/>
      <c r="S758" s="7"/>
      <c r="T758" s="7"/>
      <c r="U758" s="7"/>
      <c r="V758" s="7"/>
    </row>
    <row r="759" spans="1:22" ht="12.75" customHeight="1">
      <c r="A759" s="7"/>
      <c r="B759" s="7"/>
      <c r="C759" s="8"/>
      <c r="D759" s="66"/>
      <c r="E759" s="7"/>
      <c r="F759" s="7"/>
      <c r="G759" s="7"/>
      <c r="H759" s="7"/>
      <c r="I759" s="7"/>
      <c r="J759" s="7"/>
      <c r="K759" s="7"/>
      <c r="L759" s="7"/>
      <c r="M759" s="7"/>
      <c r="N759" s="7"/>
      <c r="O759" s="7"/>
      <c r="P759" s="7"/>
      <c r="Q759" s="7"/>
      <c r="R759" s="7"/>
      <c r="S759" s="7"/>
      <c r="T759" s="7"/>
      <c r="U759" s="7"/>
      <c r="V759" s="7"/>
    </row>
    <row r="760" spans="1:22" ht="12.75" customHeight="1">
      <c r="A760" s="7"/>
      <c r="B760" s="7"/>
      <c r="C760" s="8"/>
      <c r="D760" s="66"/>
      <c r="E760" s="7"/>
      <c r="F760" s="7"/>
      <c r="G760" s="7"/>
      <c r="H760" s="7"/>
      <c r="I760" s="7"/>
      <c r="J760" s="7"/>
      <c r="K760" s="7"/>
      <c r="L760" s="7"/>
      <c r="M760" s="7"/>
      <c r="N760" s="7"/>
      <c r="O760" s="7"/>
      <c r="P760" s="7"/>
      <c r="Q760" s="7"/>
      <c r="R760" s="7"/>
      <c r="S760" s="7"/>
      <c r="T760" s="7"/>
      <c r="U760" s="7"/>
      <c r="V760" s="7"/>
    </row>
    <row r="761" spans="1:22" ht="12.75" customHeight="1">
      <c r="A761" s="7"/>
      <c r="B761" s="7"/>
      <c r="C761" s="8"/>
      <c r="D761" s="66"/>
      <c r="E761" s="7"/>
      <c r="F761" s="7"/>
      <c r="G761" s="7"/>
      <c r="H761" s="7"/>
      <c r="I761" s="7"/>
      <c r="J761" s="7"/>
      <c r="K761" s="7"/>
      <c r="L761" s="7"/>
      <c r="M761" s="7"/>
      <c r="N761" s="7"/>
      <c r="O761" s="7"/>
      <c r="P761" s="7"/>
      <c r="Q761" s="7"/>
      <c r="R761" s="7"/>
      <c r="S761" s="7"/>
      <c r="T761" s="7"/>
      <c r="U761" s="7"/>
      <c r="V761" s="7"/>
    </row>
    <row r="762" spans="1:22" ht="12.75" customHeight="1">
      <c r="A762" s="7"/>
      <c r="B762" s="7"/>
      <c r="C762" s="8"/>
      <c r="D762" s="66"/>
      <c r="E762" s="7"/>
      <c r="F762" s="7"/>
      <c r="G762" s="7"/>
      <c r="H762" s="7"/>
      <c r="I762" s="7"/>
      <c r="J762" s="7"/>
      <c r="K762" s="7"/>
      <c r="L762" s="7"/>
      <c r="M762" s="7"/>
      <c r="N762" s="7"/>
      <c r="O762" s="7"/>
      <c r="P762" s="7"/>
      <c r="Q762" s="7"/>
      <c r="R762" s="7"/>
      <c r="S762" s="7"/>
      <c r="T762" s="7"/>
      <c r="U762" s="7"/>
      <c r="V762" s="7"/>
    </row>
    <row r="763" spans="1:22" ht="12.75" customHeight="1">
      <c r="A763" s="7"/>
      <c r="B763" s="7"/>
      <c r="C763" s="8"/>
      <c r="D763" s="66"/>
      <c r="E763" s="7"/>
      <c r="F763" s="7"/>
      <c r="G763" s="7"/>
      <c r="H763" s="7"/>
      <c r="I763" s="7"/>
      <c r="J763" s="7"/>
      <c r="K763" s="7"/>
      <c r="L763" s="7"/>
      <c r="M763" s="7"/>
      <c r="N763" s="7"/>
      <c r="O763" s="7"/>
      <c r="P763" s="7"/>
      <c r="Q763" s="7"/>
      <c r="R763" s="7"/>
      <c r="S763" s="7"/>
      <c r="T763" s="7"/>
      <c r="U763" s="7"/>
      <c r="V763" s="7"/>
    </row>
    <row r="764" spans="1:22" ht="12.75" customHeight="1">
      <c r="A764" s="7"/>
      <c r="B764" s="7"/>
      <c r="C764" s="8"/>
      <c r="D764" s="66"/>
      <c r="E764" s="7"/>
      <c r="F764" s="7"/>
      <c r="G764" s="7"/>
      <c r="H764" s="7"/>
      <c r="I764" s="7"/>
      <c r="J764" s="7"/>
      <c r="K764" s="7"/>
      <c r="L764" s="7"/>
      <c r="M764" s="7"/>
      <c r="N764" s="7"/>
      <c r="O764" s="7"/>
      <c r="P764" s="7"/>
      <c r="Q764" s="7"/>
      <c r="R764" s="7"/>
      <c r="S764" s="7"/>
      <c r="T764" s="7"/>
      <c r="U764" s="7"/>
      <c r="V764" s="7"/>
    </row>
    <row r="765" spans="1:22" ht="12.75" customHeight="1">
      <c r="A765" s="7"/>
      <c r="B765" s="7"/>
      <c r="C765" s="8"/>
      <c r="D765" s="66"/>
      <c r="E765" s="7"/>
      <c r="F765" s="7"/>
      <c r="G765" s="7"/>
      <c r="H765" s="7"/>
      <c r="I765" s="7"/>
      <c r="J765" s="7"/>
      <c r="K765" s="7"/>
      <c r="L765" s="7"/>
      <c r="M765" s="7"/>
      <c r="N765" s="7"/>
      <c r="O765" s="7"/>
      <c r="P765" s="7"/>
      <c r="Q765" s="7"/>
      <c r="R765" s="7"/>
      <c r="S765" s="7"/>
      <c r="T765" s="7"/>
      <c r="U765" s="7"/>
      <c r="V765" s="7"/>
    </row>
    <row r="766" spans="1:22" ht="12.75" customHeight="1">
      <c r="A766" s="7"/>
      <c r="B766" s="7"/>
      <c r="C766" s="8"/>
      <c r="D766" s="66"/>
      <c r="E766" s="7"/>
      <c r="F766" s="7"/>
      <c r="G766" s="7"/>
      <c r="H766" s="7"/>
      <c r="I766" s="7"/>
      <c r="J766" s="7"/>
      <c r="K766" s="7"/>
      <c r="L766" s="7"/>
      <c r="M766" s="7"/>
      <c r="N766" s="7"/>
      <c r="O766" s="7"/>
      <c r="P766" s="7"/>
      <c r="Q766" s="7"/>
      <c r="R766" s="7"/>
      <c r="S766" s="7"/>
      <c r="T766" s="7"/>
      <c r="U766" s="7"/>
      <c r="V766" s="7"/>
    </row>
    <row r="767" spans="1:22" ht="12.75" customHeight="1">
      <c r="A767" s="7"/>
      <c r="B767" s="7"/>
      <c r="C767" s="8"/>
      <c r="D767" s="66"/>
      <c r="E767" s="7"/>
      <c r="F767" s="7"/>
      <c r="G767" s="7"/>
      <c r="H767" s="7"/>
      <c r="I767" s="7"/>
      <c r="J767" s="7"/>
      <c r="K767" s="7"/>
      <c r="L767" s="7"/>
      <c r="M767" s="7"/>
      <c r="N767" s="7"/>
      <c r="O767" s="7"/>
      <c r="P767" s="7"/>
      <c r="Q767" s="7"/>
      <c r="R767" s="7"/>
      <c r="S767" s="7"/>
      <c r="T767" s="7"/>
      <c r="U767" s="7"/>
      <c r="V767" s="7"/>
    </row>
    <row r="768" spans="1:22" ht="12.75" customHeight="1">
      <c r="A768" s="7"/>
      <c r="B768" s="7"/>
      <c r="C768" s="8"/>
      <c r="D768" s="66"/>
      <c r="E768" s="7"/>
      <c r="F768" s="7"/>
      <c r="G768" s="7"/>
      <c r="H768" s="7"/>
      <c r="I768" s="7"/>
      <c r="J768" s="7"/>
      <c r="K768" s="7"/>
      <c r="L768" s="7"/>
      <c r="M768" s="7"/>
      <c r="N768" s="7"/>
      <c r="O768" s="7"/>
      <c r="P768" s="7"/>
      <c r="Q768" s="7"/>
      <c r="R768" s="7"/>
      <c r="S768" s="7"/>
      <c r="T768" s="7"/>
      <c r="U768" s="7"/>
      <c r="V768" s="7"/>
    </row>
    <row r="769" spans="1:22" ht="12.75" customHeight="1">
      <c r="A769" s="7"/>
      <c r="B769" s="7"/>
      <c r="C769" s="8"/>
      <c r="D769" s="66"/>
      <c r="E769" s="7"/>
      <c r="F769" s="7"/>
      <c r="G769" s="7"/>
      <c r="H769" s="7"/>
      <c r="I769" s="7"/>
      <c r="J769" s="7"/>
      <c r="K769" s="7"/>
      <c r="L769" s="7"/>
      <c r="M769" s="7"/>
      <c r="N769" s="7"/>
      <c r="O769" s="7"/>
      <c r="P769" s="7"/>
      <c r="Q769" s="7"/>
      <c r="R769" s="7"/>
      <c r="S769" s="7"/>
      <c r="T769" s="7"/>
      <c r="U769" s="7"/>
      <c r="V769" s="7"/>
    </row>
    <row r="770" spans="1:22" ht="12.75" customHeight="1">
      <c r="A770" s="7"/>
      <c r="B770" s="7"/>
      <c r="C770" s="8"/>
      <c r="D770" s="66"/>
      <c r="E770" s="7"/>
      <c r="F770" s="7"/>
      <c r="G770" s="7"/>
      <c r="H770" s="7"/>
      <c r="I770" s="7"/>
      <c r="J770" s="7"/>
      <c r="K770" s="7"/>
      <c r="L770" s="7"/>
      <c r="M770" s="7"/>
      <c r="N770" s="7"/>
      <c r="O770" s="7"/>
      <c r="P770" s="7"/>
      <c r="Q770" s="7"/>
      <c r="R770" s="7"/>
      <c r="S770" s="7"/>
      <c r="T770" s="7"/>
      <c r="U770" s="7"/>
      <c r="V770" s="7"/>
    </row>
    <row r="771" spans="1:22" ht="12.75" customHeight="1">
      <c r="A771" s="7"/>
      <c r="B771" s="7"/>
      <c r="C771" s="8"/>
      <c r="D771" s="66"/>
      <c r="E771" s="7"/>
      <c r="F771" s="7"/>
      <c r="G771" s="7"/>
      <c r="H771" s="7"/>
      <c r="I771" s="7"/>
      <c r="J771" s="7"/>
      <c r="K771" s="7"/>
      <c r="L771" s="7"/>
      <c r="M771" s="7"/>
      <c r="N771" s="7"/>
      <c r="O771" s="7"/>
      <c r="P771" s="7"/>
      <c r="Q771" s="7"/>
      <c r="R771" s="7"/>
      <c r="S771" s="7"/>
      <c r="T771" s="7"/>
      <c r="U771" s="7"/>
      <c r="V771" s="7"/>
    </row>
    <row r="772" spans="1:22" ht="12.75" customHeight="1">
      <c r="A772" s="7"/>
      <c r="B772" s="7"/>
      <c r="C772" s="8"/>
      <c r="D772" s="66"/>
      <c r="E772" s="7"/>
      <c r="F772" s="7"/>
      <c r="G772" s="7"/>
      <c r="H772" s="7"/>
      <c r="I772" s="7"/>
      <c r="J772" s="7"/>
      <c r="K772" s="7"/>
      <c r="L772" s="7"/>
      <c r="M772" s="7"/>
      <c r="N772" s="7"/>
      <c r="O772" s="7"/>
      <c r="P772" s="7"/>
      <c r="Q772" s="7"/>
      <c r="R772" s="7"/>
      <c r="S772" s="7"/>
      <c r="T772" s="7"/>
      <c r="U772" s="7"/>
      <c r="V772" s="7"/>
    </row>
    <row r="773" spans="1:22" ht="12.75" customHeight="1">
      <c r="A773" s="7"/>
      <c r="B773" s="7"/>
      <c r="C773" s="8"/>
      <c r="D773" s="66"/>
      <c r="E773" s="7"/>
      <c r="F773" s="7"/>
      <c r="G773" s="7"/>
      <c r="H773" s="7"/>
      <c r="I773" s="7"/>
      <c r="J773" s="7"/>
      <c r="K773" s="7"/>
      <c r="L773" s="7"/>
      <c r="M773" s="7"/>
      <c r="N773" s="7"/>
      <c r="O773" s="7"/>
      <c r="P773" s="7"/>
      <c r="Q773" s="7"/>
      <c r="R773" s="7"/>
      <c r="S773" s="7"/>
      <c r="T773" s="7"/>
      <c r="U773" s="7"/>
      <c r="V773" s="7"/>
    </row>
    <row r="774" spans="1:22" ht="12.75" customHeight="1">
      <c r="A774" s="7"/>
      <c r="B774" s="7"/>
      <c r="C774" s="8"/>
      <c r="D774" s="66"/>
      <c r="E774" s="7"/>
      <c r="F774" s="7"/>
      <c r="G774" s="7"/>
      <c r="H774" s="7"/>
      <c r="I774" s="7"/>
      <c r="J774" s="7"/>
      <c r="K774" s="7"/>
      <c r="L774" s="7"/>
      <c r="M774" s="7"/>
      <c r="N774" s="7"/>
      <c r="O774" s="7"/>
      <c r="P774" s="7"/>
      <c r="Q774" s="7"/>
      <c r="R774" s="7"/>
      <c r="S774" s="7"/>
      <c r="T774" s="7"/>
      <c r="U774" s="7"/>
      <c r="V774" s="7"/>
    </row>
    <row r="775" spans="1:22" ht="12.75" customHeight="1">
      <c r="A775" s="7"/>
      <c r="B775" s="7"/>
      <c r="C775" s="8"/>
      <c r="D775" s="66"/>
      <c r="E775" s="7"/>
      <c r="F775" s="7"/>
      <c r="G775" s="7"/>
      <c r="H775" s="7"/>
      <c r="I775" s="7"/>
      <c r="J775" s="7"/>
      <c r="K775" s="7"/>
      <c r="L775" s="7"/>
      <c r="M775" s="7"/>
      <c r="N775" s="7"/>
      <c r="O775" s="7"/>
      <c r="P775" s="7"/>
      <c r="Q775" s="7"/>
      <c r="R775" s="7"/>
      <c r="S775" s="7"/>
      <c r="T775" s="7"/>
      <c r="U775" s="7"/>
      <c r="V775" s="7"/>
    </row>
    <row r="776" spans="1:22" ht="12.75" customHeight="1">
      <c r="A776" s="7"/>
      <c r="B776" s="7"/>
      <c r="C776" s="8"/>
      <c r="D776" s="66"/>
      <c r="E776" s="7"/>
      <c r="F776" s="7"/>
      <c r="G776" s="7"/>
      <c r="H776" s="7"/>
      <c r="I776" s="7"/>
      <c r="J776" s="7"/>
      <c r="K776" s="7"/>
      <c r="L776" s="7"/>
      <c r="M776" s="7"/>
      <c r="N776" s="7"/>
      <c r="O776" s="7"/>
      <c r="P776" s="7"/>
      <c r="Q776" s="7"/>
      <c r="R776" s="7"/>
      <c r="S776" s="7"/>
      <c r="T776" s="7"/>
      <c r="U776" s="7"/>
      <c r="V776" s="7"/>
    </row>
    <row r="777" spans="1:22" ht="12.75" customHeight="1">
      <c r="A777" s="7"/>
      <c r="B777" s="7"/>
      <c r="C777" s="8"/>
      <c r="D777" s="66"/>
      <c r="E777" s="7"/>
      <c r="F777" s="7"/>
      <c r="G777" s="7"/>
      <c r="H777" s="7"/>
      <c r="I777" s="7"/>
      <c r="J777" s="7"/>
      <c r="K777" s="7"/>
      <c r="L777" s="7"/>
      <c r="M777" s="7"/>
      <c r="N777" s="7"/>
      <c r="O777" s="7"/>
      <c r="P777" s="7"/>
      <c r="Q777" s="7"/>
      <c r="R777" s="7"/>
      <c r="S777" s="7"/>
      <c r="T777" s="7"/>
      <c r="U777" s="7"/>
      <c r="V777" s="7"/>
    </row>
    <row r="778" spans="1:22" ht="12.75" customHeight="1">
      <c r="A778" s="7"/>
      <c r="B778" s="7"/>
      <c r="C778" s="8"/>
      <c r="D778" s="66"/>
      <c r="E778" s="7"/>
      <c r="F778" s="7"/>
      <c r="G778" s="7"/>
      <c r="H778" s="7"/>
      <c r="I778" s="7"/>
      <c r="J778" s="7"/>
      <c r="K778" s="7"/>
      <c r="L778" s="7"/>
      <c r="M778" s="7"/>
      <c r="N778" s="7"/>
      <c r="O778" s="7"/>
      <c r="P778" s="7"/>
      <c r="Q778" s="7"/>
      <c r="R778" s="7"/>
      <c r="S778" s="7"/>
      <c r="T778" s="7"/>
      <c r="U778" s="7"/>
      <c r="V778" s="7"/>
    </row>
    <row r="779" spans="1:22" ht="12.75" customHeight="1">
      <c r="A779" s="7"/>
      <c r="B779" s="7"/>
      <c r="C779" s="8"/>
      <c r="D779" s="66"/>
      <c r="E779" s="7"/>
      <c r="F779" s="7"/>
      <c r="G779" s="7"/>
      <c r="H779" s="7"/>
      <c r="I779" s="7"/>
      <c r="J779" s="7"/>
      <c r="K779" s="7"/>
      <c r="L779" s="7"/>
      <c r="M779" s="7"/>
      <c r="N779" s="7"/>
      <c r="O779" s="7"/>
      <c r="P779" s="7"/>
      <c r="Q779" s="7"/>
      <c r="R779" s="7"/>
      <c r="S779" s="7"/>
      <c r="T779" s="7"/>
      <c r="U779" s="7"/>
      <c r="V779" s="7"/>
    </row>
    <row r="780" spans="1:22" ht="12.75" customHeight="1">
      <c r="A780" s="7"/>
      <c r="B780" s="7"/>
      <c r="C780" s="8"/>
      <c r="D780" s="66"/>
      <c r="E780" s="7"/>
      <c r="F780" s="7"/>
      <c r="G780" s="7"/>
      <c r="H780" s="7"/>
      <c r="I780" s="7"/>
      <c r="J780" s="7"/>
      <c r="K780" s="7"/>
      <c r="L780" s="7"/>
      <c r="M780" s="7"/>
      <c r="N780" s="7"/>
      <c r="O780" s="7"/>
      <c r="P780" s="7"/>
      <c r="Q780" s="7"/>
      <c r="R780" s="7"/>
      <c r="S780" s="7"/>
      <c r="T780" s="7"/>
      <c r="U780" s="7"/>
      <c r="V780" s="7"/>
    </row>
    <row r="781" spans="1:22" ht="12.75" customHeight="1">
      <c r="A781" s="7"/>
      <c r="B781" s="7"/>
      <c r="C781" s="8"/>
      <c r="D781" s="66"/>
      <c r="E781" s="7"/>
      <c r="F781" s="7"/>
      <c r="G781" s="7"/>
      <c r="H781" s="7"/>
      <c r="I781" s="7"/>
      <c r="J781" s="7"/>
      <c r="K781" s="7"/>
      <c r="L781" s="7"/>
      <c r="M781" s="7"/>
      <c r="N781" s="7"/>
      <c r="O781" s="7"/>
      <c r="P781" s="7"/>
      <c r="Q781" s="7"/>
      <c r="R781" s="7"/>
      <c r="S781" s="7"/>
      <c r="T781" s="7"/>
      <c r="U781" s="7"/>
      <c r="V781" s="7"/>
    </row>
    <row r="782" spans="1:22" ht="12.75" customHeight="1">
      <c r="A782" s="7"/>
      <c r="B782" s="7"/>
      <c r="C782" s="8"/>
      <c r="D782" s="66"/>
      <c r="E782" s="7"/>
      <c r="F782" s="7"/>
      <c r="G782" s="7"/>
      <c r="H782" s="7"/>
      <c r="I782" s="7"/>
      <c r="J782" s="7"/>
      <c r="K782" s="7"/>
      <c r="L782" s="7"/>
      <c r="M782" s="7"/>
      <c r="N782" s="7"/>
      <c r="O782" s="7"/>
      <c r="P782" s="7"/>
      <c r="Q782" s="7"/>
      <c r="R782" s="7"/>
      <c r="S782" s="7"/>
      <c r="T782" s="7"/>
      <c r="U782" s="7"/>
      <c r="V782" s="7"/>
    </row>
    <row r="783" spans="1:22" ht="12.75" customHeight="1">
      <c r="A783" s="7"/>
      <c r="B783" s="7"/>
      <c r="C783" s="8"/>
      <c r="D783" s="66"/>
      <c r="E783" s="7"/>
      <c r="F783" s="7"/>
      <c r="G783" s="7"/>
      <c r="H783" s="7"/>
      <c r="I783" s="7"/>
      <c r="J783" s="7"/>
      <c r="K783" s="7"/>
      <c r="L783" s="7"/>
      <c r="M783" s="7"/>
      <c r="N783" s="7"/>
      <c r="O783" s="7"/>
      <c r="P783" s="7"/>
      <c r="Q783" s="7"/>
      <c r="R783" s="7"/>
      <c r="S783" s="7"/>
      <c r="T783" s="7"/>
      <c r="U783" s="7"/>
      <c r="V783" s="7"/>
    </row>
    <row r="784" spans="1:22" ht="12.75" customHeight="1">
      <c r="A784" s="7"/>
      <c r="B784" s="7"/>
      <c r="C784" s="8"/>
      <c r="D784" s="66"/>
      <c r="E784" s="7"/>
      <c r="F784" s="7"/>
      <c r="G784" s="7"/>
      <c r="H784" s="7"/>
      <c r="I784" s="7"/>
      <c r="J784" s="7"/>
      <c r="K784" s="7"/>
      <c r="L784" s="7"/>
      <c r="M784" s="7"/>
      <c r="N784" s="7"/>
      <c r="O784" s="7"/>
      <c r="P784" s="7"/>
      <c r="Q784" s="7"/>
      <c r="R784" s="7"/>
      <c r="S784" s="7"/>
      <c r="T784" s="7"/>
      <c r="U784" s="7"/>
      <c r="V784" s="7"/>
    </row>
    <row r="785" spans="1:22" ht="12.75" customHeight="1">
      <c r="A785" s="7"/>
      <c r="B785" s="7"/>
      <c r="C785" s="8"/>
      <c r="D785" s="66"/>
      <c r="E785" s="7"/>
      <c r="F785" s="7"/>
      <c r="G785" s="7"/>
      <c r="H785" s="7"/>
      <c r="I785" s="7"/>
      <c r="J785" s="7"/>
      <c r="K785" s="7"/>
      <c r="L785" s="7"/>
      <c r="M785" s="7"/>
      <c r="N785" s="7"/>
      <c r="O785" s="7"/>
      <c r="P785" s="7"/>
      <c r="Q785" s="7"/>
      <c r="R785" s="7"/>
      <c r="S785" s="7"/>
      <c r="T785" s="7"/>
      <c r="U785" s="7"/>
      <c r="V785" s="7"/>
    </row>
    <row r="786" spans="1:22" ht="12.75" customHeight="1">
      <c r="A786" s="7"/>
      <c r="B786" s="7"/>
      <c r="C786" s="8"/>
      <c r="D786" s="66"/>
      <c r="E786" s="7"/>
      <c r="F786" s="7"/>
      <c r="G786" s="7"/>
      <c r="H786" s="7"/>
      <c r="I786" s="7"/>
      <c r="J786" s="7"/>
      <c r="K786" s="7"/>
      <c r="L786" s="7"/>
      <c r="M786" s="7"/>
      <c r="N786" s="7"/>
      <c r="O786" s="7"/>
      <c r="P786" s="7"/>
      <c r="Q786" s="7"/>
      <c r="R786" s="7"/>
      <c r="S786" s="7"/>
      <c r="T786" s="7"/>
      <c r="U786" s="7"/>
      <c r="V786" s="7"/>
    </row>
    <row r="787" spans="1:22" ht="12.75" customHeight="1">
      <c r="A787" s="7"/>
      <c r="B787" s="7"/>
      <c r="C787" s="8"/>
      <c r="D787" s="66"/>
      <c r="E787" s="7"/>
      <c r="F787" s="7"/>
      <c r="G787" s="7"/>
      <c r="H787" s="7"/>
      <c r="I787" s="7"/>
      <c r="J787" s="7"/>
      <c r="K787" s="7"/>
      <c r="L787" s="7"/>
      <c r="M787" s="7"/>
      <c r="N787" s="7"/>
      <c r="O787" s="7"/>
      <c r="P787" s="7"/>
      <c r="Q787" s="7"/>
      <c r="R787" s="7"/>
      <c r="S787" s="7"/>
      <c r="T787" s="7"/>
      <c r="U787" s="7"/>
      <c r="V787" s="7"/>
    </row>
    <row r="788" spans="1:22" ht="12.75" customHeight="1">
      <c r="A788" s="7"/>
      <c r="B788" s="7"/>
      <c r="C788" s="8"/>
      <c r="D788" s="66"/>
      <c r="E788" s="7"/>
      <c r="F788" s="7"/>
      <c r="G788" s="7"/>
      <c r="H788" s="7"/>
      <c r="I788" s="7"/>
      <c r="J788" s="7"/>
      <c r="K788" s="7"/>
      <c r="L788" s="7"/>
      <c r="M788" s="7"/>
      <c r="N788" s="7"/>
      <c r="O788" s="7"/>
      <c r="P788" s="7"/>
      <c r="Q788" s="7"/>
      <c r="R788" s="7"/>
      <c r="S788" s="7"/>
      <c r="T788" s="7"/>
      <c r="U788" s="7"/>
      <c r="V788" s="7"/>
    </row>
    <row r="789" spans="1:22" ht="12.75" customHeight="1">
      <c r="A789" s="7"/>
      <c r="B789" s="7"/>
      <c r="C789" s="8"/>
      <c r="D789" s="66"/>
      <c r="E789" s="7"/>
      <c r="F789" s="7"/>
      <c r="G789" s="7"/>
      <c r="H789" s="7"/>
      <c r="I789" s="7"/>
      <c r="J789" s="7"/>
      <c r="K789" s="7"/>
      <c r="L789" s="7"/>
      <c r="M789" s="7"/>
      <c r="N789" s="7"/>
      <c r="O789" s="7"/>
      <c r="P789" s="7"/>
      <c r="Q789" s="7"/>
      <c r="R789" s="7"/>
      <c r="S789" s="7"/>
      <c r="T789" s="7"/>
      <c r="U789" s="7"/>
      <c r="V789" s="7"/>
    </row>
    <row r="790" spans="1:22" ht="12.75" customHeight="1">
      <c r="A790" s="7"/>
      <c r="B790" s="7"/>
      <c r="C790" s="8"/>
      <c r="D790" s="66"/>
      <c r="E790" s="7"/>
      <c r="F790" s="7"/>
      <c r="G790" s="7"/>
      <c r="H790" s="7"/>
      <c r="I790" s="7"/>
      <c r="J790" s="7"/>
      <c r="K790" s="7"/>
      <c r="L790" s="7"/>
      <c r="M790" s="7"/>
      <c r="N790" s="7"/>
      <c r="O790" s="7"/>
      <c r="P790" s="7"/>
      <c r="Q790" s="7"/>
      <c r="R790" s="7"/>
      <c r="S790" s="7"/>
      <c r="T790" s="7"/>
      <c r="U790" s="7"/>
      <c r="V790" s="7"/>
    </row>
    <row r="791" spans="1:22" ht="12.75" customHeight="1">
      <c r="A791" s="7"/>
      <c r="B791" s="7"/>
      <c r="C791" s="8"/>
      <c r="D791" s="66"/>
      <c r="E791" s="7"/>
      <c r="F791" s="7"/>
      <c r="G791" s="7"/>
      <c r="H791" s="7"/>
      <c r="I791" s="7"/>
      <c r="J791" s="7"/>
      <c r="K791" s="7"/>
      <c r="L791" s="7"/>
      <c r="M791" s="7"/>
      <c r="N791" s="7"/>
      <c r="O791" s="7"/>
      <c r="P791" s="7"/>
      <c r="Q791" s="7"/>
      <c r="R791" s="7"/>
      <c r="S791" s="7"/>
      <c r="T791" s="7"/>
      <c r="U791" s="7"/>
      <c r="V791" s="7"/>
    </row>
    <row r="792" spans="1:22" ht="12.75" customHeight="1">
      <c r="A792" s="7"/>
      <c r="B792" s="7"/>
      <c r="C792" s="8"/>
      <c r="D792" s="66"/>
      <c r="E792" s="7"/>
      <c r="F792" s="7"/>
      <c r="G792" s="7"/>
      <c r="H792" s="7"/>
      <c r="I792" s="7"/>
      <c r="J792" s="7"/>
      <c r="K792" s="7"/>
      <c r="L792" s="7"/>
      <c r="M792" s="7"/>
      <c r="N792" s="7"/>
      <c r="O792" s="7"/>
      <c r="P792" s="7"/>
      <c r="Q792" s="7"/>
      <c r="R792" s="7"/>
      <c r="S792" s="7"/>
      <c r="T792" s="7"/>
      <c r="U792" s="7"/>
      <c r="V792" s="7"/>
    </row>
    <row r="793" spans="1:22" ht="12.75" customHeight="1">
      <c r="A793" s="7"/>
      <c r="B793" s="7"/>
      <c r="C793" s="8"/>
      <c r="D793" s="66"/>
      <c r="E793" s="7"/>
      <c r="F793" s="7"/>
      <c r="G793" s="7"/>
      <c r="H793" s="7"/>
      <c r="I793" s="7"/>
      <c r="J793" s="7"/>
      <c r="K793" s="7"/>
      <c r="L793" s="7"/>
      <c r="M793" s="7"/>
      <c r="N793" s="7"/>
      <c r="O793" s="7"/>
      <c r="P793" s="7"/>
      <c r="Q793" s="7"/>
      <c r="R793" s="7"/>
      <c r="S793" s="7"/>
      <c r="T793" s="7"/>
      <c r="U793" s="7"/>
      <c r="V793" s="7"/>
    </row>
    <row r="794" spans="1:22" ht="12.75" customHeight="1">
      <c r="A794" s="7"/>
      <c r="B794" s="7"/>
      <c r="C794" s="8"/>
      <c r="D794" s="66"/>
      <c r="E794" s="7"/>
      <c r="F794" s="7"/>
      <c r="G794" s="7"/>
      <c r="H794" s="7"/>
      <c r="I794" s="7"/>
      <c r="J794" s="7"/>
      <c r="K794" s="7"/>
      <c r="L794" s="7"/>
      <c r="M794" s="7"/>
      <c r="N794" s="7"/>
      <c r="O794" s="7"/>
      <c r="P794" s="7"/>
      <c r="Q794" s="7"/>
      <c r="R794" s="7"/>
      <c r="S794" s="7"/>
      <c r="T794" s="7"/>
      <c r="U794" s="7"/>
      <c r="V794" s="7"/>
    </row>
    <row r="795" spans="1:22" ht="12.75" customHeight="1">
      <c r="A795" s="7"/>
      <c r="B795" s="7"/>
      <c r="C795" s="8"/>
      <c r="D795" s="66"/>
      <c r="E795" s="7"/>
      <c r="F795" s="7"/>
      <c r="G795" s="7"/>
      <c r="H795" s="7"/>
      <c r="I795" s="7"/>
      <c r="J795" s="7"/>
      <c r="K795" s="7"/>
      <c r="L795" s="7"/>
      <c r="M795" s="7"/>
      <c r="N795" s="7"/>
      <c r="O795" s="7"/>
      <c r="P795" s="7"/>
      <c r="Q795" s="7"/>
      <c r="R795" s="7"/>
      <c r="S795" s="7"/>
      <c r="T795" s="7"/>
      <c r="U795" s="7"/>
      <c r="V795" s="7"/>
    </row>
    <row r="796" spans="1:22" ht="12.75" customHeight="1">
      <c r="A796" s="7"/>
      <c r="B796" s="7"/>
      <c r="C796" s="8"/>
      <c r="D796" s="66"/>
      <c r="E796" s="7"/>
      <c r="F796" s="7"/>
      <c r="G796" s="7"/>
      <c r="H796" s="7"/>
      <c r="I796" s="7"/>
      <c r="J796" s="7"/>
      <c r="K796" s="7"/>
      <c r="L796" s="7"/>
      <c r="M796" s="7"/>
      <c r="N796" s="7"/>
      <c r="O796" s="7"/>
      <c r="P796" s="7"/>
      <c r="Q796" s="7"/>
      <c r="R796" s="7"/>
      <c r="S796" s="7"/>
      <c r="T796" s="7"/>
      <c r="U796" s="7"/>
      <c r="V796" s="7"/>
    </row>
    <row r="797" spans="1:22" ht="12.75" customHeight="1">
      <c r="A797" s="7"/>
      <c r="B797" s="7"/>
      <c r="C797" s="8"/>
      <c r="D797" s="66"/>
      <c r="E797" s="7"/>
      <c r="F797" s="7"/>
      <c r="G797" s="7"/>
      <c r="H797" s="7"/>
      <c r="I797" s="7"/>
      <c r="J797" s="7"/>
      <c r="K797" s="7"/>
      <c r="L797" s="7"/>
      <c r="M797" s="7"/>
      <c r="N797" s="7"/>
      <c r="O797" s="7"/>
      <c r="P797" s="7"/>
      <c r="Q797" s="7"/>
      <c r="R797" s="7"/>
      <c r="S797" s="7"/>
      <c r="T797" s="7"/>
      <c r="U797" s="7"/>
      <c r="V797" s="7"/>
    </row>
    <row r="798" spans="1:22" ht="12.75" customHeight="1">
      <c r="A798" s="7"/>
      <c r="B798" s="7"/>
      <c r="C798" s="8"/>
      <c r="D798" s="66"/>
      <c r="E798" s="7"/>
      <c r="F798" s="7"/>
      <c r="G798" s="7"/>
      <c r="H798" s="7"/>
      <c r="I798" s="7"/>
      <c r="J798" s="7"/>
      <c r="K798" s="7"/>
      <c r="L798" s="7"/>
      <c r="M798" s="7"/>
      <c r="N798" s="7"/>
      <c r="O798" s="7"/>
      <c r="P798" s="7"/>
      <c r="Q798" s="7"/>
      <c r="R798" s="7"/>
      <c r="S798" s="7"/>
      <c r="T798" s="7"/>
      <c r="U798" s="7"/>
      <c r="V798" s="7"/>
    </row>
    <row r="799" spans="1:22" ht="12.75" customHeight="1">
      <c r="A799" s="7"/>
      <c r="B799" s="7"/>
      <c r="C799" s="8"/>
      <c r="D799" s="66"/>
      <c r="E799" s="7"/>
      <c r="F799" s="7"/>
      <c r="G799" s="7"/>
      <c r="H799" s="7"/>
      <c r="I799" s="7"/>
      <c r="J799" s="7"/>
      <c r="K799" s="7"/>
      <c r="L799" s="7"/>
      <c r="M799" s="7"/>
      <c r="N799" s="7"/>
      <c r="O799" s="7"/>
      <c r="P799" s="7"/>
      <c r="Q799" s="7"/>
      <c r="R799" s="7"/>
      <c r="S799" s="7"/>
      <c r="T799" s="7"/>
      <c r="U799" s="7"/>
      <c r="V799" s="7"/>
    </row>
    <row r="800" spans="1:22" ht="12.75" customHeight="1">
      <c r="A800" s="7"/>
      <c r="B800" s="7"/>
      <c r="C800" s="8"/>
      <c r="D800" s="66"/>
      <c r="E800" s="7"/>
      <c r="F800" s="7"/>
      <c r="G800" s="7"/>
      <c r="H800" s="7"/>
      <c r="I800" s="7"/>
      <c r="J800" s="7"/>
      <c r="K800" s="7"/>
      <c r="L800" s="7"/>
      <c r="M800" s="7"/>
      <c r="N800" s="7"/>
      <c r="O800" s="7"/>
      <c r="P800" s="7"/>
      <c r="Q800" s="7"/>
      <c r="R800" s="7"/>
      <c r="S800" s="7"/>
      <c r="T800" s="7"/>
      <c r="U800" s="7"/>
      <c r="V800" s="7"/>
    </row>
    <row r="801" spans="1:22" ht="12.75" customHeight="1">
      <c r="A801" s="7"/>
      <c r="B801" s="7"/>
      <c r="C801" s="8"/>
      <c r="D801" s="66"/>
      <c r="E801" s="7"/>
      <c r="F801" s="7"/>
      <c r="G801" s="7"/>
      <c r="H801" s="7"/>
      <c r="I801" s="7"/>
      <c r="J801" s="7"/>
      <c r="K801" s="7"/>
      <c r="L801" s="7"/>
      <c r="M801" s="7"/>
      <c r="N801" s="7"/>
      <c r="O801" s="7"/>
      <c r="P801" s="7"/>
      <c r="Q801" s="7"/>
      <c r="R801" s="7"/>
      <c r="S801" s="7"/>
      <c r="T801" s="7"/>
      <c r="U801" s="7"/>
      <c r="V801" s="7"/>
    </row>
    <row r="802" spans="1:22" ht="12.75" customHeight="1">
      <c r="A802" s="7"/>
      <c r="B802" s="7"/>
      <c r="C802" s="8"/>
      <c r="D802" s="66"/>
      <c r="E802" s="7"/>
      <c r="F802" s="7"/>
      <c r="G802" s="7"/>
      <c r="H802" s="7"/>
      <c r="I802" s="7"/>
      <c r="J802" s="7"/>
      <c r="K802" s="7"/>
      <c r="L802" s="7"/>
      <c r="M802" s="7"/>
      <c r="N802" s="7"/>
      <c r="O802" s="7"/>
      <c r="P802" s="7"/>
      <c r="Q802" s="7"/>
      <c r="R802" s="7"/>
      <c r="S802" s="7"/>
      <c r="T802" s="7"/>
      <c r="U802" s="7"/>
      <c r="V802" s="7"/>
    </row>
    <row r="803" spans="1:22" ht="12.75" customHeight="1">
      <c r="A803" s="7"/>
      <c r="B803" s="7"/>
      <c r="C803" s="8"/>
      <c r="D803" s="66"/>
      <c r="E803" s="7"/>
      <c r="F803" s="7"/>
      <c r="G803" s="7"/>
      <c r="H803" s="7"/>
      <c r="I803" s="7"/>
      <c r="J803" s="7"/>
      <c r="K803" s="7"/>
      <c r="L803" s="7"/>
      <c r="M803" s="7"/>
      <c r="N803" s="7"/>
      <c r="O803" s="7"/>
      <c r="P803" s="7"/>
      <c r="Q803" s="7"/>
      <c r="R803" s="7"/>
      <c r="S803" s="7"/>
      <c r="T803" s="7"/>
      <c r="U803" s="7"/>
      <c r="V803" s="7"/>
    </row>
    <row r="804" spans="1:22" ht="12.75" customHeight="1">
      <c r="A804" s="7"/>
      <c r="B804" s="7"/>
      <c r="C804" s="8"/>
      <c r="D804" s="66"/>
      <c r="E804" s="7"/>
      <c r="F804" s="7"/>
      <c r="G804" s="7"/>
      <c r="H804" s="7"/>
      <c r="I804" s="7"/>
      <c r="J804" s="7"/>
      <c r="K804" s="7"/>
      <c r="L804" s="7"/>
      <c r="M804" s="7"/>
      <c r="N804" s="7"/>
      <c r="O804" s="7"/>
      <c r="P804" s="7"/>
      <c r="Q804" s="7"/>
      <c r="R804" s="7"/>
      <c r="S804" s="7"/>
      <c r="T804" s="7"/>
      <c r="U804" s="7"/>
      <c r="V804" s="7"/>
    </row>
    <row r="805" spans="1:22" ht="12.75" customHeight="1">
      <c r="A805" s="7"/>
      <c r="B805" s="7"/>
      <c r="C805" s="8"/>
      <c r="D805" s="66"/>
      <c r="E805" s="7"/>
      <c r="F805" s="7"/>
      <c r="G805" s="7"/>
      <c r="H805" s="7"/>
      <c r="I805" s="7"/>
      <c r="J805" s="7"/>
      <c r="K805" s="7"/>
      <c r="L805" s="7"/>
      <c r="M805" s="7"/>
      <c r="N805" s="7"/>
      <c r="O805" s="7"/>
      <c r="P805" s="7"/>
      <c r="Q805" s="7"/>
      <c r="R805" s="7"/>
      <c r="S805" s="7"/>
      <c r="T805" s="7"/>
      <c r="U805" s="7"/>
      <c r="V805" s="7"/>
    </row>
    <row r="806" spans="1:22" ht="12.75" customHeight="1">
      <c r="A806" s="7"/>
      <c r="B806" s="7"/>
      <c r="C806" s="8"/>
      <c r="D806" s="66"/>
      <c r="E806" s="7"/>
      <c r="F806" s="7"/>
      <c r="G806" s="7"/>
      <c r="H806" s="7"/>
      <c r="I806" s="7"/>
      <c r="J806" s="7"/>
      <c r="K806" s="7"/>
      <c r="L806" s="7"/>
      <c r="M806" s="7"/>
      <c r="N806" s="7"/>
      <c r="O806" s="7"/>
      <c r="P806" s="7"/>
      <c r="Q806" s="7"/>
      <c r="R806" s="7"/>
      <c r="S806" s="7"/>
      <c r="T806" s="7"/>
      <c r="U806" s="7"/>
      <c r="V806" s="7"/>
    </row>
    <row r="807" spans="1:22" ht="12.75" customHeight="1">
      <c r="A807" s="7"/>
      <c r="B807" s="7"/>
      <c r="C807" s="8"/>
      <c r="D807" s="66"/>
      <c r="E807" s="7"/>
      <c r="F807" s="7"/>
      <c r="G807" s="7"/>
      <c r="H807" s="7"/>
      <c r="I807" s="7"/>
      <c r="J807" s="7"/>
      <c r="K807" s="7"/>
      <c r="L807" s="7"/>
      <c r="M807" s="7"/>
      <c r="N807" s="7"/>
      <c r="O807" s="7"/>
      <c r="P807" s="7"/>
      <c r="Q807" s="7"/>
      <c r="R807" s="7"/>
      <c r="S807" s="7"/>
      <c r="T807" s="7"/>
      <c r="U807" s="7"/>
      <c r="V807" s="7"/>
    </row>
    <row r="808" spans="1:22" ht="12.75" customHeight="1">
      <c r="A808" s="7"/>
      <c r="B808" s="7"/>
      <c r="C808" s="8"/>
      <c r="D808" s="66"/>
      <c r="E808" s="7"/>
      <c r="F808" s="7"/>
      <c r="G808" s="7"/>
      <c r="H808" s="7"/>
      <c r="I808" s="7"/>
      <c r="J808" s="7"/>
      <c r="K808" s="7"/>
      <c r="L808" s="7"/>
      <c r="M808" s="7"/>
      <c r="N808" s="7"/>
      <c r="O808" s="7"/>
      <c r="P808" s="7"/>
      <c r="Q808" s="7"/>
      <c r="R808" s="7"/>
      <c r="S808" s="7"/>
      <c r="T808" s="7"/>
      <c r="U808" s="7"/>
      <c r="V808" s="7"/>
    </row>
    <row r="809" spans="1:22" ht="12.75" customHeight="1">
      <c r="A809" s="7"/>
      <c r="B809" s="7"/>
      <c r="C809" s="8"/>
      <c r="D809" s="66"/>
      <c r="E809" s="7"/>
      <c r="F809" s="7"/>
      <c r="G809" s="7"/>
      <c r="H809" s="7"/>
      <c r="I809" s="7"/>
      <c r="J809" s="7"/>
      <c r="K809" s="7"/>
      <c r="L809" s="7"/>
      <c r="M809" s="7"/>
      <c r="N809" s="7"/>
      <c r="O809" s="7"/>
      <c r="P809" s="7"/>
      <c r="Q809" s="7"/>
      <c r="R809" s="7"/>
      <c r="S809" s="7"/>
      <c r="T809" s="7"/>
      <c r="U809" s="7"/>
      <c r="V809" s="7"/>
    </row>
    <row r="810" spans="1:22" ht="12.75" customHeight="1">
      <c r="A810" s="7"/>
      <c r="B810" s="7"/>
      <c r="C810" s="8"/>
      <c r="D810" s="66"/>
      <c r="E810" s="7"/>
      <c r="F810" s="7"/>
      <c r="G810" s="7"/>
      <c r="H810" s="7"/>
      <c r="I810" s="7"/>
      <c r="J810" s="7"/>
      <c r="K810" s="7"/>
      <c r="L810" s="7"/>
      <c r="M810" s="7"/>
      <c r="N810" s="7"/>
      <c r="O810" s="7"/>
      <c r="P810" s="7"/>
      <c r="Q810" s="7"/>
      <c r="R810" s="7"/>
      <c r="S810" s="7"/>
      <c r="T810" s="7"/>
      <c r="U810" s="7"/>
      <c r="V810" s="7"/>
    </row>
    <row r="811" spans="1:22" ht="12.75" customHeight="1">
      <c r="A811" s="7"/>
      <c r="B811" s="7"/>
      <c r="C811" s="8"/>
      <c r="D811" s="66"/>
      <c r="E811" s="7"/>
      <c r="F811" s="7"/>
      <c r="G811" s="7"/>
      <c r="H811" s="7"/>
      <c r="I811" s="7"/>
      <c r="J811" s="7"/>
      <c r="K811" s="7"/>
      <c r="L811" s="7"/>
      <c r="M811" s="7"/>
      <c r="N811" s="7"/>
      <c r="O811" s="7"/>
      <c r="P811" s="7"/>
      <c r="Q811" s="7"/>
      <c r="R811" s="7"/>
      <c r="S811" s="7"/>
      <c r="T811" s="7"/>
      <c r="U811" s="7"/>
      <c r="V811" s="7"/>
    </row>
    <row r="812" spans="1:22" ht="12.75" customHeight="1">
      <c r="A812" s="7"/>
      <c r="B812" s="7"/>
      <c r="C812" s="8"/>
      <c r="D812" s="66"/>
      <c r="E812" s="7"/>
      <c r="F812" s="7"/>
      <c r="G812" s="7"/>
      <c r="H812" s="7"/>
      <c r="I812" s="7"/>
      <c r="J812" s="7"/>
      <c r="K812" s="7"/>
      <c r="L812" s="7"/>
      <c r="M812" s="7"/>
      <c r="N812" s="7"/>
      <c r="O812" s="7"/>
      <c r="P812" s="7"/>
      <c r="Q812" s="7"/>
      <c r="R812" s="7"/>
      <c r="S812" s="7"/>
      <c r="T812" s="7"/>
      <c r="U812" s="7"/>
      <c r="V812" s="7"/>
    </row>
    <row r="813" spans="1:22" ht="12.75" customHeight="1">
      <c r="A813" s="7"/>
      <c r="B813" s="7"/>
      <c r="C813" s="8"/>
      <c r="D813" s="66"/>
      <c r="E813" s="7"/>
      <c r="F813" s="7"/>
      <c r="G813" s="7"/>
      <c r="H813" s="7"/>
      <c r="I813" s="7"/>
      <c r="J813" s="7"/>
      <c r="K813" s="7"/>
      <c r="L813" s="7"/>
      <c r="M813" s="7"/>
      <c r="N813" s="7"/>
      <c r="O813" s="7"/>
      <c r="P813" s="7"/>
      <c r="Q813" s="7"/>
      <c r="R813" s="7"/>
      <c r="S813" s="7"/>
      <c r="T813" s="7"/>
      <c r="U813" s="7"/>
      <c r="V813" s="7"/>
    </row>
    <row r="814" spans="1:22" ht="12.75" customHeight="1">
      <c r="A814" s="7"/>
      <c r="B814" s="7"/>
      <c r="C814" s="8"/>
      <c r="D814" s="66"/>
      <c r="E814" s="7"/>
      <c r="F814" s="7"/>
      <c r="G814" s="7"/>
      <c r="H814" s="7"/>
      <c r="I814" s="7"/>
      <c r="J814" s="7"/>
      <c r="K814" s="7"/>
      <c r="L814" s="7"/>
      <c r="M814" s="7"/>
      <c r="N814" s="7"/>
      <c r="O814" s="7"/>
      <c r="P814" s="7"/>
      <c r="Q814" s="7"/>
      <c r="R814" s="7"/>
      <c r="S814" s="7"/>
      <c r="T814" s="7"/>
      <c r="U814" s="7"/>
      <c r="V814" s="7"/>
    </row>
    <row r="815" spans="1:22" ht="12.75" customHeight="1">
      <c r="A815" s="7"/>
      <c r="B815" s="7"/>
      <c r="C815" s="8"/>
      <c r="D815" s="66"/>
      <c r="E815" s="7"/>
      <c r="F815" s="7"/>
      <c r="G815" s="7"/>
      <c r="H815" s="7"/>
      <c r="I815" s="7"/>
      <c r="J815" s="7"/>
      <c r="K815" s="7"/>
      <c r="L815" s="7"/>
      <c r="M815" s="7"/>
      <c r="N815" s="7"/>
      <c r="O815" s="7"/>
      <c r="P815" s="7"/>
      <c r="Q815" s="7"/>
      <c r="R815" s="7"/>
      <c r="S815" s="7"/>
      <c r="T815" s="7"/>
      <c r="U815" s="7"/>
      <c r="V815" s="7"/>
    </row>
    <row r="816" spans="1:22" ht="12.75" customHeight="1">
      <c r="A816" s="7"/>
      <c r="B816" s="7"/>
      <c r="C816" s="8"/>
      <c r="D816" s="66"/>
      <c r="E816" s="7"/>
      <c r="F816" s="7"/>
      <c r="G816" s="7"/>
      <c r="H816" s="7"/>
      <c r="I816" s="7"/>
      <c r="J816" s="7"/>
      <c r="K816" s="7"/>
      <c r="L816" s="7"/>
      <c r="M816" s="7"/>
      <c r="N816" s="7"/>
      <c r="O816" s="7"/>
      <c r="P816" s="7"/>
      <c r="Q816" s="7"/>
      <c r="R816" s="7"/>
      <c r="S816" s="7"/>
      <c r="T816" s="7"/>
      <c r="U816" s="7"/>
      <c r="V816" s="7"/>
    </row>
    <row r="817" spans="1:22" ht="12.75" customHeight="1">
      <c r="A817" s="7"/>
      <c r="B817" s="7"/>
      <c r="C817" s="8"/>
      <c r="D817" s="66"/>
      <c r="E817" s="7"/>
      <c r="F817" s="7"/>
      <c r="G817" s="7"/>
      <c r="H817" s="7"/>
      <c r="I817" s="7"/>
      <c r="J817" s="7"/>
      <c r="K817" s="7"/>
      <c r="L817" s="7"/>
      <c r="M817" s="7"/>
      <c r="N817" s="7"/>
      <c r="O817" s="7"/>
      <c r="P817" s="7"/>
      <c r="Q817" s="7"/>
      <c r="R817" s="7"/>
      <c r="S817" s="7"/>
      <c r="T817" s="7"/>
      <c r="U817" s="7"/>
      <c r="V817" s="7"/>
    </row>
    <row r="818" spans="1:22" ht="12.75" customHeight="1">
      <c r="A818" s="7"/>
      <c r="B818" s="7"/>
      <c r="C818" s="8"/>
      <c r="D818" s="66"/>
      <c r="E818" s="7"/>
      <c r="F818" s="7"/>
      <c r="G818" s="7"/>
      <c r="H818" s="7"/>
      <c r="I818" s="7"/>
      <c r="J818" s="7"/>
      <c r="K818" s="7"/>
      <c r="L818" s="7"/>
      <c r="M818" s="7"/>
      <c r="N818" s="7"/>
      <c r="O818" s="7"/>
      <c r="P818" s="7"/>
      <c r="Q818" s="7"/>
      <c r="R818" s="7"/>
      <c r="S818" s="7"/>
      <c r="T818" s="7"/>
      <c r="U818" s="7"/>
      <c r="V818" s="7"/>
    </row>
    <row r="819" spans="1:22" ht="12.75" customHeight="1">
      <c r="A819" s="7"/>
      <c r="B819" s="7"/>
      <c r="C819" s="8"/>
      <c r="D819" s="66"/>
      <c r="E819" s="7"/>
      <c r="F819" s="7"/>
      <c r="G819" s="7"/>
      <c r="H819" s="7"/>
      <c r="I819" s="7"/>
      <c r="J819" s="7"/>
      <c r="K819" s="7"/>
      <c r="L819" s="7"/>
      <c r="M819" s="7"/>
      <c r="N819" s="7"/>
      <c r="O819" s="7"/>
      <c r="P819" s="7"/>
      <c r="Q819" s="7"/>
      <c r="R819" s="7"/>
      <c r="S819" s="7"/>
      <c r="T819" s="7"/>
      <c r="U819" s="7"/>
      <c r="V819" s="7"/>
    </row>
    <row r="820" spans="1:22" ht="12.75" customHeight="1">
      <c r="A820" s="7"/>
      <c r="B820" s="7"/>
      <c r="C820" s="8"/>
      <c r="D820" s="66"/>
      <c r="E820" s="7"/>
      <c r="F820" s="7"/>
      <c r="G820" s="7"/>
      <c r="H820" s="7"/>
      <c r="I820" s="7"/>
      <c r="J820" s="7"/>
      <c r="K820" s="7"/>
      <c r="L820" s="7"/>
      <c r="M820" s="7"/>
      <c r="N820" s="7"/>
      <c r="O820" s="7"/>
      <c r="P820" s="7"/>
      <c r="Q820" s="7"/>
      <c r="R820" s="7"/>
      <c r="S820" s="7"/>
      <c r="T820" s="7"/>
      <c r="U820" s="7"/>
      <c r="V820" s="7"/>
    </row>
    <row r="821" spans="1:22" ht="12.75" customHeight="1">
      <c r="A821" s="7"/>
      <c r="B821" s="7"/>
      <c r="C821" s="8"/>
      <c r="D821" s="66"/>
      <c r="E821" s="7"/>
      <c r="F821" s="7"/>
      <c r="G821" s="7"/>
      <c r="H821" s="7"/>
      <c r="I821" s="7"/>
      <c r="J821" s="7"/>
      <c r="K821" s="7"/>
      <c r="L821" s="7"/>
      <c r="M821" s="7"/>
      <c r="N821" s="7"/>
      <c r="O821" s="7"/>
      <c r="P821" s="7"/>
      <c r="Q821" s="7"/>
      <c r="R821" s="7"/>
      <c r="S821" s="7"/>
      <c r="T821" s="7"/>
      <c r="U821" s="7"/>
      <c r="V821" s="7"/>
    </row>
    <row r="822" spans="1:22" ht="12.75" customHeight="1">
      <c r="A822" s="7"/>
      <c r="B822" s="7"/>
      <c r="C822" s="8"/>
      <c r="D822" s="66"/>
      <c r="E822" s="7"/>
      <c r="F822" s="7"/>
      <c r="G822" s="7"/>
      <c r="H822" s="7"/>
      <c r="I822" s="7"/>
      <c r="J822" s="7"/>
      <c r="K822" s="7"/>
      <c r="L822" s="7"/>
      <c r="M822" s="7"/>
      <c r="N822" s="7"/>
      <c r="O822" s="7"/>
      <c r="P822" s="7"/>
      <c r="Q822" s="7"/>
      <c r="R822" s="7"/>
      <c r="S822" s="7"/>
      <c r="T822" s="7"/>
      <c r="U822" s="7"/>
      <c r="V822" s="7"/>
    </row>
    <row r="823" spans="1:22" ht="12.75" customHeight="1">
      <c r="A823" s="7"/>
      <c r="B823" s="7"/>
      <c r="C823" s="8"/>
      <c r="D823" s="66"/>
      <c r="E823" s="7"/>
      <c r="F823" s="7"/>
      <c r="G823" s="7"/>
      <c r="H823" s="7"/>
      <c r="I823" s="7"/>
      <c r="J823" s="7"/>
      <c r="K823" s="7"/>
      <c r="L823" s="7"/>
      <c r="M823" s="7"/>
      <c r="N823" s="7"/>
      <c r="O823" s="7"/>
      <c r="P823" s="7"/>
      <c r="Q823" s="7"/>
      <c r="R823" s="7"/>
      <c r="S823" s="7"/>
      <c r="T823" s="7"/>
      <c r="U823" s="7"/>
      <c r="V823" s="7"/>
    </row>
    <row r="824" spans="1:22" ht="12.75" customHeight="1">
      <c r="A824" s="7"/>
      <c r="B824" s="7"/>
      <c r="C824" s="8"/>
      <c r="D824" s="66"/>
      <c r="E824" s="7"/>
      <c r="F824" s="7"/>
      <c r="G824" s="7"/>
      <c r="H824" s="7"/>
      <c r="I824" s="7"/>
      <c r="J824" s="7"/>
      <c r="K824" s="7"/>
      <c r="L824" s="7"/>
      <c r="M824" s="7"/>
      <c r="N824" s="7"/>
      <c r="O824" s="7"/>
      <c r="P824" s="7"/>
      <c r="Q824" s="7"/>
      <c r="R824" s="7"/>
      <c r="S824" s="7"/>
      <c r="T824" s="7"/>
      <c r="U824" s="7"/>
      <c r="V824" s="7"/>
    </row>
    <row r="825" spans="1:22" ht="12.75" customHeight="1">
      <c r="A825" s="7"/>
      <c r="B825" s="7"/>
      <c r="C825" s="8"/>
      <c r="D825" s="66"/>
      <c r="E825" s="7"/>
      <c r="F825" s="7"/>
      <c r="G825" s="7"/>
      <c r="H825" s="7"/>
      <c r="I825" s="7"/>
      <c r="J825" s="7"/>
      <c r="K825" s="7"/>
      <c r="L825" s="7"/>
      <c r="M825" s="7"/>
      <c r="N825" s="7"/>
      <c r="O825" s="7"/>
      <c r="P825" s="7"/>
      <c r="Q825" s="7"/>
      <c r="R825" s="7"/>
      <c r="S825" s="7"/>
      <c r="T825" s="7"/>
      <c r="U825" s="7"/>
      <c r="V825" s="7"/>
    </row>
    <row r="826" spans="1:22" ht="12.75" customHeight="1">
      <c r="A826" s="7"/>
      <c r="B826" s="7"/>
      <c r="C826" s="8"/>
      <c r="D826" s="66"/>
      <c r="E826" s="7"/>
      <c r="F826" s="7"/>
      <c r="G826" s="7"/>
      <c r="H826" s="7"/>
      <c r="I826" s="7"/>
      <c r="J826" s="7"/>
      <c r="K826" s="7"/>
      <c r="L826" s="7"/>
      <c r="M826" s="7"/>
      <c r="N826" s="7"/>
      <c r="O826" s="7"/>
      <c r="P826" s="7"/>
      <c r="Q826" s="7"/>
      <c r="R826" s="7"/>
      <c r="S826" s="7"/>
      <c r="T826" s="7"/>
      <c r="U826" s="7"/>
      <c r="V826" s="7"/>
    </row>
    <row r="827" spans="1:22" ht="12.75" customHeight="1">
      <c r="A827" s="7"/>
      <c r="B827" s="7"/>
      <c r="C827" s="8"/>
      <c r="D827" s="66"/>
      <c r="E827" s="7"/>
      <c r="F827" s="7"/>
      <c r="G827" s="7"/>
      <c r="H827" s="7"/>
      <c r="I827" s="7"/>
      <c r="J827" s="7"/>
      <c r="K827" s="7"/>
      <c r="L827" s="7"/>
      <c r="M827" s="7"/>
      <c r="N827" s="7"/>
      <c r="O827" s="7"/>
      <c r="P827" s="7"/>
      <c r="Q827" s="7"/>
      <c r="R827" s="7"/>
      <c r="S827" s="7"/>
      <c r="T827" s="7"/>
      <c r="U827" s="7"/>
      <c r="V827" s="7"/>
    </row>
    <row r="828" spans="1:22" ht="12.75" customHeight="1">
      <c r="A828" s="7"/>
      <c r="B828" s="7"/>
      <c r="C828" s="8"/>
      <c r="D828" s="66"/>
      <c r="E828" s="7"/>
      <c r="F828" s="7"/>
      <c r="G828" s="7"/>
      <c r="H828" s="7"/>
      <c r="I828" s="7"/>
      <c r="J828" s="7"/>
      <c r="K828" s="7"/>
      <c r="L828" s="7"/>
      <c r="M828" s="7"/>
      <c r="N828" s="7"/>
      <c r="O828" s="7"/>
      <c r="P828" s="7"/>
      <c r="Q828" s="7"/>
      <c r="R828" s="7"/>
      <c r="S828" s="7"/>
      <c r="T828" s="7"/>
      <c r="U828" s="7"/>
      <c r="V828" s="7"/>
    </row>
    <row r="829" spans="1:22" ht="12.75" customHeight="1">
      <c r="A829" s="7"/>
      <c r="B829" s="7"/>
      <c r="C829" s="8"/>
      <c r="D829" s="66"/>
      <c r="E829" s="7"/>
      <c r="F829" s="7"/>
      <c r="G829" s="7"/>
      <c r="H829" s="7"/>
      <c r="I829" s="7"/>
      <c r="J829" s="7"/>
      <c r="K829" s="7"/>
      <c r="L829" s="7"/>
      <c r="M829" s="7"/>
      <c r="N829" s="7"/>
      <c r="O829" s="7"/>
      <c r="P829" s="7"/>
      <c r="Q829" s="7"/>
      <c r="R829" s="7"/>
      <c r="S829" s="7"/>
      <c r="T829" s="7"/>
      <c r="U829" s="7"/>
      <c r="V829" s="7"/>
    </row>
    <row r="830" spans="1:22" ht="12.75" customHeight="1">
      <c r="A830" s="7"/>
      <c r="B830" s="7"/>
      <c r="C830" s="8"/>
      <c r="D830" s="66"/>
      <c r="E830" s="7"/>
      <c r="F830" s="7"/>
      <c r="G830" s="7"/>
      <c r="H830" s="7"/>
      <c r="I830" s="7"/>
      <c r="J830" s="7"/>
      <c r="K830" s="7"/>
      <c r="L830" s="7"/>
      <c r="M830" s="7"/>
      <c r="N830" s="7"/>
      <c r="O830" s="7"/>
      <c r="P830" s="7"/>
      <c r="Q830" s="7"/>
      <c r="R830" s="7"/>
      <c r="S830" s="7"/>
      <c r="T830" s="7"/>
      <c r="U830" s="7"/>
      <c r="V830" s="7"/>
    </row>
    <row r="831" spans="1:22" ht="12.75" customHeight="1">
      <c r="A831" s="7"/>
      <c r="B831" s="7"/>
      <c r="C831" s="8"/>
      <c r="D831" s="66"/>
      <c r="E831" s="7"/>
      <c r="F831" s="7"/>
      <c r="G831" s="7"/>
      <c r="H831" s="7"/>
      <c r="I831" s="7"/>
      <c r="J831" s="7"/>
      <c r="K831" s="7"/>
      <c r="L831" s="7"/>
      <c r="M831" s="7"/>
      <c r="N831" s="7"/>
      <c r="O831" s="7"/>
      <c r="P831" s="7"/>
      <c r="Q831" s="7"/>
      <c r="R831" s="7"/>
      <c r="S831" s="7"/>
      <c r="T831" s="7"/>
      <c r="U831" s="7"/>
      <c r="V831" s="7"/>
    </row>
    <row r="832" spans="1:22" ht="12.75" customHeight="1">
      <c r="A832" s="7"/>
      <c r="B832" s="7"/>
      <c r="C832" s="8"/>
      <c r="D832" s="66"/>
      <c r="E832" s="7"/>
      <c r="F832" s="7"/>
      <c r="G832" s="7"/>
      <c r="H832" s="7"/>
      <c r="I832" s="7"/>
      <c r="J832" s="7"/>
      <c r="K832" s="7"/>
      <c r="L832" s="7"/>
      <c r="M832" s="7"/>
      <c r="N832" s="7"/>
      <c r="O832" s="7"/>
      <c r="P832" s="7"/>
      <c r="Q832" s="7"/>
      <c r="R832" s="7"/>
      <c r="S832" s="7"/>
      <c r="T832" s="7"/>
      <c r="U832" s="7"/>
      <c r="V832" s="7"/>
    </row>
    <row r="833" spans="1:22" ht="12.75" customHeight="1">
      <c r="A833" s="7"/>
      <c r="B833" s="7"/>
      <c r="C833" s="8"/>
      <c r="D833" s="66"/>
      <c r="E833" s="7"/>
      <c r="F833" s="7"/>
      <c r="G833" s="7"/>
      <c r="H833" s="7"/>
      <c r="I833" s="7"/>
      <c r="J833" s="7"/>
      <c r="K833" s="7"/>
      <c r="L833" s="7"/>
      <c r="M833" s="7"/>
      <c r="N833" s="7"/>
      <c r="O833" s="7"/>
      <c r="P833" s="7"/>
      <c r="Q833" s="7"/>
      <c r="R833" s="7"/>
      <c r="S833" s="7"/>
      <c r="T833" s="7"/>
      <c r="U833" s="7"/>
      <c r="V833" s="7"/>
    </row>
    <row r="834" spans="1:22" ht="12.75" customHeight="1">
      <c r="A834" s="7"/>
      <c r="B834" s="7"/>
      <c r="C834" s="8"/>
      <c r="D834" s="66"/>
      <c r="E834" s="7"/>
      <c r="F834" s="7"/>
      <c r="G834" s="7"/>
      <c r="H834" s="7"/>
      <c r="I834" s="7"/>
      <c r="J834" s="7"/>
      <c r="K834" s="7"/>
      <c r="L834" s="7"/>
      <c r="M834" s="7"/>
      <c r="N834" s="7"/>
      <c r="O834" s="7"/>
      <c r="P834" s="7"/>
      <c r="Q834" s="7"/>
      <c r="R834" s="7"/>
      <c r="S834" s="7"/>
      <c r="T834" s="7"/>
      <c r="U834" s="7"/>
      <c r="V834" s="7"/>
    </row>
    <row r="835" spans="1:22" ht="12.75" customHeight="1">
      <c r="A835" s="7"/>
      <c r="B835" s="7"/>
      <c r="C835" s="8"/>
      <c r="D835" s="66"/>
      <c r="E835" s="7"/>
      <c r="F835" s="7"/>
      <c r="G835" s="7"/>
      <c r="H835" s="7"/>
      <c r="I835" s="7"/>
      <c r="J835" s="7"/>
      <c r="K835" s="7"/>
      <c r="L835" s="7"/>
      <c r="M835" s="7"/>
      <c r="N835" s="7"/>
      <c r="O835" s="7"/>
      <c r="P835" s="7"/>
      <c r="Q835" s="7"/>
      <c r="R835" s="7"/>
      <c r="S835" s="7"/>
      <c r="T835" s="7"/>
      <c r="U835" s="7"/>
      <c r="V835" s="7"/>
    </row>
    <row r="836" spans="1:22" ht="12.75" customHeight="1">
      <c r="A836" s="7"/>
      <c r="B836" s="7"/>
      <c r="C836" s="8"/>
      <c r="D836" s="66"/>
      <c r="E836" s="7"/>
      <c r="F836" s="7"/>
      <c r="G836" s="7"/>
      <c r="H836" s="7"/>
      <c r="I836" s="7"/>
      <c r="J836" s="7"/>
      <c r="K836" s="7"/>
      <c r="L836" s="7"/>
      <c r="M836" s="7"/>
      <c r="N836" s="7"/>
      <c r="O836" s="7"/>
      <c r="P836" s="7"/>
      <c r="Q836" s="7"/>
      <c r="R836" s="7"/>
      <c r="S836" s="7"/>
      <c r="T836" s="7"/>
      <c r="U836" s="7"/>
      <c r="V836" s="7"/>
    </row>
    <row r="837" spans="1:22" ht="12.75" customHeight="1">
      <c r="A837" s="7"/>
      <c r="B837" s="7"/>
      <c r="C837" s="8"/>
      <c r="D837" s="66"/>
      <c r="E837" s="7"/>
      <c r="F837" s="7"/>
      <c r="G837" s="7"/>
      <c r="H837" s="7"/>
      <c r="I837" s="7"/>
      <c r="J837" s="7"/>
      <c r="K837" s="7"/>
      <c r="L837" s="7"/>
      <c r="M837" s="7"/>
      <c r="N837" s="7"/>
      <c r="O837" s="7"/>
      <c r="P837" s="7"/>
      <c r="Q837" s="7"/>
      <c r="R837" s="7"/>
      <c r="S837" s="7"/>
      <c r="T837" s="7"/>
      <c r="U837" s="7"/>
      <c r="V837" s="7"/>
    </row>
    <row r="838" spans="1:22" ht="12.75" customHeight="1">
      <c r="A838" s="7"/>
      <c r="B838" s="7"/>
      <c r="C838" s="8"/>
      <c r="D838" s="66"/>
      <c r="E838" s="7"/>
      <c r="F838" s="7"/>
      <c r="G838" s="7"/>
      <c r="H838" s="7"/>
      <c r="I838" s="7"/>
      <c r="J838" s="7"/>
      <c r="K838" s="7"/>
      <c r="L838" s="7"/>
      <c r="M838" s="7"/>
      <c r="N838" s="7"/>
      <c r="O838" s="7"/>
      <c r="P838" s="7"/>
      <c r="Q838" s="7"/>
      <c r="R838" s="7"/>
      <c r="S838" s="7"/>
      <c r="T838" s="7"/>
      <c r="U838" s="7"/>
      <c r="V838" s="7"/>
    </row>
    <row r="839" spans="1:22" ht="12.75" customHeight="1">
      <c r="A839" s="7"/>
      <c r="B839" s="7"/>
      <c r="C839" s="8"/>
      <c r="D839" s="66"/>
      <c r="E839" s="7"/>
      <c r="F839" s="7"/>
      <c r="G839" s="7"/>
      <c r="H839" s="7"/>
      <c r="I839" s="7"/>
      <c r="J839" s="7"/>
      <c r="K839" s="7"/>
      <c r="L839" s="7"/>
      <c r="M839" s="7"/>
      <c r="N839" s="7"/>
      <c r="O839" s="7"/>
      <c r="P839" s="7"/>
      <c r="Q839" s="7"/>
      <c r="R839" s="7"/>
      <c r="S839" s="7"/>
      <c r="T839" s="7"/>
      <c r="U839" s="7"/>
      <c r="V839" s="7"/>
    </row>
    <row r="840" spans="1:22" ht="12.75" customHeight="1">
      <c r="A840" s="7"/>
      <c r="B840" s="7"/>
      <c r="C840" s="8"/>
      <c r="D840" s="66"/>
      <c r="E840" s="7"/>
      <c r="F840" s="7"/>
      <c r="G840" s="7"/>
      <c r="H840" s="7"/>
      <c r="I840" s="7"/>
      <c r="J840" s="7"/>
      <c r="K840" s="7"/>
      <c r="L840" s="7"/>
      <c r="M840" s="7"/>
      <c r="N840" s="7"/>
      <c r="O840" s="7"/>
      <c r="P840" s="7"/>
      <c r="Q840" s="7"/>
      <c r="R840" s="7"/>
      <c r="S840" s="7"/>
      <c r="T840" s="7"/>
      <c r="U840" s="7"/>
      <c r="V840" s="7"/>
    </row>
    <row r="841" spans="1:22" ht="12.75" customHeight="1">
      <c r="A841" s="7"/>
      <c r="B841" s="7"/>
      <c r="C841" s="8"/>
      <c r="D841" s="66"/>
      <c r="E841" s="7"/>
      <c r="F841" s="7"/>
      <c r="G841" s="7"/>
      <c r="H841" s="7"/>
      <c r="I841" s="7"/>
      <c r="J841" s="7"/>
      <c r="K841" s="7"/>
      <c r="L841" s="7"/>
      <c r="M841" s="7"/>
      <c r="N841" s="7"/>
      <c r="O841" s="7"/>
      <c r="P841" s="7"/>
      <c r="Q841" s="7"/>
      <c r="R841" s="7"/>
      <c r="S841" s="7"/>
      <c r="T841" s="7"/>
      <c r="U841" s="7"/>
      <c r="V841" s="7"/>
    </row>
    <row r="842" spans="1:22" ht="12.75" customHeight="1">
      <c r="A842" s="7"/>
      <c r="B842" s="7"/>
      <c r="C842" s="8"/>
      <c r="D842" s="66"/>
      <c r="E842" s="7"/>
      <c r="F842" s="7"/>
      <c r="G842" s="7"/>
      <c r="H842" s="7"/>
      <c r="I842" s="7"/>
      <c r="J842" s="7"/>
      <c r="K842" s="7"/>
      <c r="L842" s="7"/>
      <c r="M842" s="7"/>
      <c r="N842" s="7"/>
      <c r="O842" s="7"/>
      <c r="P842" s="7"/>
      <c r="Q842" s="7"/>
      <c r="R842" s="7"/>
      <c r="S842" s="7"/>
      <c r="T842" s="7"/>
      <c r="U842" s="7"/>
      <c r="V842" s="7"/>
    </row>
    <row r="843" spans="1:22" ht="12.75" customHeight="1">
      <c r="A843" s="7"/>
      <c r="B843" s="7"/>
      <c r="C843" s="8"/>
      <c r="D843" s="66"/>
      <c r="E843" s="7"/>
      <c r="F843" s="7"/>
      <c r="G843" s="7"/>
      <c r="H843" s="7"/>
      <c r="I843" s="7"/>
      <c r="J843" s="7"/>
      <c r="K843" s="7"/>
      <c r="L843" s="7"/>
      <c r="M843" s="7"/>
      <c r="N843" s="7"/>
      <c r="O843" s="7"/>
      <c r="P843" s="7"/>
      <c r="Q843" s="7"/>
      <c r="R843" s="7"/>
      <c r="S843" s="7"/>
      <c r="T843" s="7"/>
      <c r="U843" s="7"/>
      <c r="V843" s="7"/>
    </row>
    <row r="844" spans="1:22" ht="12.75" customHeight="1">
      <c r="A844" s="7"/>
      <c r="B844" s="7"/>
      <c r="C844" s="8"/>
      <c r="D844" s="66"/>
      <c r="E844" s="7"/>
      <c r="F844" s="7"/>
      <c r="G844" s="7"/>
      <c r="H844" s="7"/>
      <c r="I844" s="7"/>
      <c r="J844" s="7"/>
      <c r="K844" s="7"/>
      <c r="L844" s="7"/>
      <c r="M844" s="7"/>
      <c r="N844" s="7"/>
      <c r="O844" s="7"/>
      <c r="P844" s="7"/>
      <c r="Q844" s="7"/>
      <c r="R844" s="7"/>
      <c r="S844" s="7"/>
      <c r="T844" s="7"/>
      <c r="U844" s="7"/>
      <c r="V844" s="7"/>
    </row>
    <row r="845" spans="1:22" ht="12.75" customHeight="1">
      <c r="A845" s="7"/>
      <c r="B845" s="7"/>
      <c r="C845" s="8"/>
      <c r="D845" s="66"/>
      <c r="E845" s="7"/>
      <c r="F845" s="7"/>
      <c r="G845" s="7"/>
      <c r="H845" s="7"/>
      <c r="I845" s="7"/>
      <c r="J845" s="7"/>
      <c r="K845" s="7"/>
      <c r="L845" s="7"/>
      <c r="M845" s="7"/>
      <c r="N845" s="7"/>
      <c r="O845" s="7"/>
      <c r="P845" s="7"/>
      <c r="Q845" s="7"/>
      <c r="R845" s="7"/>
      <c r="S845" s="7"/>
      <c r="T845" s="7"/>
      <c r="U845" s="7"/>
      <c r="V845" s="7"/>
    </row>
    <row r="846" spans="1:22" ht="12.75" customHeight="1">
      <c r="A846" s="7"/>
      <c r="B846" s="7"/>
      <c r="C846" s="8"/>
      <c r="D846" s="66"/>
      <c r="E846" s="7"/>
      <c r="F846" s="7"/>
      <c r="G846" s="7"/>
      <c r="H846" s="7"/>
      <c r="I846" s="7"/>
      <c r="J846" s="7"/>
      <c r="K846" s="7"/>
      <c r="L846" s="7"/>
      <c r="M846" s="7"/>
      <c r="N846" s="7"/>
      <c r="O846" s="7"/>
      <c r="P846" s="7"/>
      <c r="Q846" s="7"/>
      <c r="R846" s="7"/>
      <c r="S846" s="7"/>
      <c r="T846" s="7"/>
      <c r="U846" s="7"/>
      <c r="V846" s="7"/>
    </row>
    <row r="847" spans="1:22" ht="12.75" customHeight="1">
      <c r="A847" s="7"/>
      <c r="B847" s="7"/>
      <c r="C847" s="8"/>
      <c r="D847" s="66"/>
      <c r="E847" s="7"/>
      <c r="F847" s="7"/>
      <c r="G847" s="7"/>
      <c r="H847" s="7"/>
      <c r="I847" s="7"/>
      <c r="J847" s="7"/>
      <c r="K847" s="7"/>
      <c r="L847" s="7"/>
      <c r="M847" s="7"/>
      <c r="N847" s="7"/>
      <c r="O847" s="7"/>
      <c r="P847" s="7"/>
      <c r="Q847" s="7"/>
      <c r="R847" s="7"/>
      <c r="S847" s="7"/>
      <c r="T847" s="7"/>
      <c r="U847" s="7"/>
      <c r="V847" s="7"/>
    </row>
    <row r="848" spans="1:22" ht="12.75" customHeight="1">
      <c r="A848" s="7"/>
      <c r="B848" s="7"/>
      <c r="C848" s="8"/>
      <c r="D848" s="66"/>
      <c r="E848" s="7"/>
      <c r="F848" s="7"/>
      <c r="G848" s="7"/>
      <c r="H848" s="7"/>
      <c r="I848" s="7"/>
      <c r="J848" s="7"/>
      <c r="K848" s="7"/>
      <c r="L848" s="7"/>
      <c r="M848" s="7"/>
      <c r="N848" s="7"/>
      <c r="O848" s="7"/>
      <c r="P848" s="7"/>
      <c r="Q848" s="7"/>
      <c r="R848" s="7"/>
      <c r="S848" s="7"/>
      <c r="T848" s="7"/>
      <c r="U848" s="7"/>
      <c r="V848" s="7"/>
    </row>
    <row r="849" spans="1:22" ht="12.75" customHeight="1">
      <c r="A849" s="7"/>
      <c r="B849" s="7"/>
      <c r="C849" s="8"/>
      <c r="D849" s="66"/>
      <c r="E849" s="7"/>
      <c r="F849" s="7"/>
      <c r="G849" s="7"/>
      <c r="H849" s="7"/>
      <c r="I849" s="7"/>
      <c r="J849" s="7"/>
      <c r="K849" s="7"/>
      <c r="L849" s="7"/>
      <c r="M849" s="7"/>
      <c r="N849" s="7"/>
      <c r="O849" s="7"/>
      <c r="P849" s="7"/>
      <c r="Q849" s="7"/>
      <c r="R849" s="7"/>
      <c r="S849" s="7"/>
      <c r="T849" s="7"/>
      <c r="U849" s="7"/>
      <c r="V849" s="7"/>
    </row>
    <row r="850" spans="1:22" ht="12.75" customHeight="1">
      <c r="A850" s="7"/>
      <c r="B850" s="7"/>
      <c r="C850" s="8"/>
      <c r="D850" s="66"/>
      <c r="E850" s="7"/>
      <c r="F850" s="7"/>
      <c r="G850" s="7"/>
      <c r="H850" s="7"/>
      <c r="I850" s="7"/>
      <c r="J850" s="7"/>
      <c r="K850" s="7"/>
      <c r="L850" s="7"/>
      <c r="M850" s="7"/>
      <c r="N850" s="7"/>
      <c r="O850" s="7"/>
      <c r="P850" s="7"/>
      <c r="Q850" s="7"/>
      <c r="R850" s="7"/>
      <c r="S850" s="7"/>
      <c r="T850" s="7"/>
      <c r="U850" s="7"/>
      <c r="V850" s="7"/>
    </row>
    <row r="851" spans="1:22" ht="12.75" customHeight="1">
      <c r="A851" s="7"/>
      <c r="B851" s="7"/>
      <c r="C851" s="8"/>
      <c r="D851" s="66"/>
      <c r="E851" s="7"/>
      <c r="F851" s="7"/>
      <c r="G851" s="7"/>
      <c r="H851" s="7"/>
      <c r="I851" s="7"/>
      <c r="J851" s="7"/>
      <c r="K851" s="7"/>
      <c r="L851" s="7"/>
      <c r="M851" s="7"/>
      <c r="N851" s="7"/>
      <c r="O851" s="7"/>
      <c r="P851" s="7"/>
      <c r="Q851" s="7"/>
      <c r="R851" s="7"/>
      <c r="S851" s="7"/>
      <c r="T851" s="7"/>
      <c r="U851" s="7"/>
      <c r="V851" s="7"/>
    </row>
    <row r="852" spans="1:22" ht="12.75" customHeight="1">
      <c r="A852" s="7"/>
      <c r="B852" s="7"/>
      <c r="C852" s="8"/>
      <c r="D852" s="66"/>
      <c r="E852" s="7"/>
      <c r="F852" s="7"/>
      <c r="G852" s="7"/>
      <c r="H852" s="7"/>
      <c r="I852" s="7"/>
      <c r="J852" s="7"/>
      <c r="K852" s="7"/>
      <c r="L852" s="7"/>
      <c r="M852" s="7"/>
      <c r="N852" s="7"/>
      <c r="O852" s="7"/>
      <c r="P852" s="7"/>
      <c r="Q852" s="7"/>
      <c r="R852" s="7"/>
      <c r="S852" s="7"/>
      <c r="T852" s="7"/>
      <c r="U852" s="7"/>
      <c r="V852" s="7"/>
    </row>
    <row r="853" spans="1:22" ht="12.75" customHeight="1">
      <c r="A853" s="7"/>
      <c r="B853" s="7"/>
      <c r="C853" s="8"/>
      <c r="D853" s="66"/>
      <c r="E853" s="7"/>
      <c r="F853" s="7"/>
      <c r="G853" s="7"/>
      <c r="H853" s="7"/>
      <c r="I853" s="7"/>
      <c r="J853" s="7"/>
      <c r="K853" s="7"/>
      <c r="L853" s="7"/>
      <c r="M853" s="7"/>
      <c r="N853" s="7"/>
      <c r="O853" s="7"/>
      <c r="P853" s="7"/>
      <c r="Q853" s="7"/>
      <c r="R853" s="7"/>
      <c r="S853" s="7"/>
      <c r="T853" s="7"/>
      <c r="U853" s="7"/>
      <c r="V853" s="7"/>
    </row>
    <row r="854" spans="1:22" ht="12.75" customHeight="1">
      <c r="A854" s="7"/>
      <c r="B854" s="7"/>
      <c r="C854" s="8"/>
      <c r="D854" s="66"/>
      <c r="E854" s="7"/>
      <c r="F854" s="7"/>
      <c r="G854" s="7"/>
      <c r="H854" s="7"/>
      <c r="I854" s="7"/>
      <c r="J854" s="7"/>
      <c r="K854" s="7"/>
      <c r="L854" s="7"/>
      <c r="M854" s="7"/>
      <c r="N854" s="7"/>
      <c r="O854" s="7"/>
      <c r="P854" s="7"/>
      <c r="Q854" s="7"/>
      <c r="R854" s="7"/>
      <c r="S854" s="7"/>
      <c r="T854" s="7"/>
      <c r="U854" s="7"/>
      <c r="V854" s="7"/>
    </row>
    <row r="855" spans="1:22" ht="12.75" customHeight="1">
      <c r="A855" s="7"/>
      <c r="B855" s="7"/>
      <c r="C855" s="8"/>
      <c r="D855" s="66"/>
      <c r="E855" s="7"/>
      <c r="F855" s="7"/>
      <c r="G855" s="7"/>
      <c r="H855" s="7"/>
      <c r="I855" s="7"/>
      <c r="J855" s="7"/>
      <c r="K855" s="7"/>
      <c r="L855" s="7"/>
      <c r="M855" s="7"/>
      <c r="N855" s="7"/>
      <c r="O855" s="7"/>
      <c r="P855" s="7"/>
      <c r="Q855" s="7"/>
      <c r="R855" s="7"/>
      <c r="S855" s="7"/>
      <c r="T855" s="7"/>
      <c r="U855" s="7"/>
      <c r="V855" s="7"/>
    </row>
    <row r="856" spans="1:22" ht="12.75" customHeight="1">
      <c r="A856" s="7"/>
      <c r="B856" s="7"/>
      <c r="C856" s="8"/>
      <c r="D856" s="66"/>
      <c r="E856" s="7"/>
      <c r="F856" s="7"/>
      <c r="G856" s="7"/>
      <c r="H856" s="7"/>
      <c r="I856" s="7"/>
      <c r="J856" s="7"/>
      <c r="K856" s="7"/>
      <c r="L856" s="7"/>
      <c r="M856" s="7"/>
      <c r="N856" s="7"/>
      <c r="O856" s="7"/>
      <c r="P856" s="7"/>
      <c r="Q856" s="7"/>
      <c r="R856" s="7"/>
      <c r="S856" s="7"/>
      <c r="T856" s="7"/>
      <c r="U856" s="7"/>
      <c r="V856" s="7"/>
    </row>
    <row r="857" spans="1:22" ht="12.75" customHeight="1">
      <c r="A857" s="7"/>
      <c r="B857" s="7"/>
      <c r="C857" s="8"/>
      <c r="D857" s="66"/>
      <c r="E857" s="7"/>
      <c r="F857" s="7"/>
      <c r="G857" s="7"/>
      <c r="H857" s="7"/>
      <c r="I857" s="7"/>
      <c r="J857" s="7"/>
      <c r="K857" s="7"/>
      <c r="L857" s="7"/>
      <c r="M857" s="7"/>
      <c r="N857" s="7"/>
      <c r="O857" s="7"/>
      <c r="P857" s="7"/>
      <c r="Q857" s="7"/>
      <c r="R857" s="7"/>
      <c r="S857" s="7"/>
      <c r="T857" s="7"/>
      <c r="U857" s="7"/>
      <c r="V857" s="7"/>
    </row>
    <row r="858" spans="1:22" ht="12.75" customHeight="1">
      <c r="A858" s="7"/>
      <c r="B858" s="7"/>
      <c r="C858" s="8"/>
      <c r="D858" s="66"/>
      <c r="E858" s="7"/>
      <c r="F858" s="7"/>
      <c r="G858" s="7"/>
      <c r="H858" s="7"/>
      <c r="I858" s="7"/>
      <c r="J858" s="7"/>
      <c r="K858" s="7"/>
      <c r="L858" s="7"/>
      <c r="M858" s="7"/>
      <c r="N858" s="7"/>
      <c r="O858" s="7"/>
      <c r="P858" s="7"/>
      <c r="Q858" s="7"/>
      <c r="R858" s="7"/>
      <c r="S858" s="7"/>
      <c r="T858" s="7"/>
      <c r="U858" s="7"/>
      <c r="V858" s="7"/>
    </row>
    <row r="859" spans="1:22" ht="12.75" customHeight="1">
      <c r="A859" s="7"/>
      <c r="B859" s="7"/>
      <c r="C859" s="8"/>
      <c r="D859" s="66"/>
      <c r="E859" s="7"/>
      <c r="F859" s="7"/>
      <c r="G859" s="7"/>
      <c r="H859" s="7"/>
      <c r="I859" s="7"/>
      <c r="J859" s="7"/>
      <c r="K859" s="7"/>
      <c r="L859" s="7"/>
      <c r="M859" s="7"/>
      <c r="N859" s="7"/>
      <c r="O859" s="7"/>
      <c r="P859" s="7"/>
      <c r="Q859" s="7"/>
      <c r="R859" s="7"/>
      <c r="S859" s="7"/>
      <c r="T859" s="7"/>
      <c r="U859" s="7"/>
      <c r="V859" s="7"/>
    </row>
    <row r="860" spans="1:22" ht="12.75" customHeight="1">
      <c r="A860" s="7"/>
      <c r="B860" s="7"/>
      <c r="C860" s="8"/>
      <c r="D860" s="66"/>
      <c r="E860" s="7"/>
      <c r="F860" s="7"/>
      <c r="G860" s="7"/>
      <c r="H860" s="7"/>
      <c r="I860" s="7"/>
      <c r="J860" s="7"/>
      <c r="K860" s="7"/>
      <c r="L860" s="7"/>
      <c r="M860" s="7"/>
      <c r="N860" s="7"/>
      <c r="O860" s="7"/>
      <c r="P860" s="7"/>
      <c r="Q860" s="7"/>
      <c r="R860" s="7"/>
      <c r="S860" s="7"/>
      <c r="T860" s="7"/>
      <c r="U860" s="7"/>
      <c r="V860" s="7"/>
    </row>
    <row r="861" spans="1:22" ht="12.75" customHeight="1">
      <c r="A861" s="7"/>
      <c r="B861" s="7"/>
      <c r="C861" s="8"/>
      <c r="D861" s="66"/>
      <c r="E861" s="7"/>
      <c r="F861" s="7"/>
      <c r="G861" s="7"/>
      <c r="H861" s="7"/>
      <c r="I861" s="7"/>
      <c r="J861" s="7"/>
      <c r="K861" s="7"/>
      <c r="L861" s="7"/>
      <c r="M861" s="7"/>
      <c r="N861" s="7"/>
      <c r="O861" s="7"/>
      <c r="P861" s="7"/>
      <c r="Q861" s="7"/>
      <c r="R861" s="7"/>
      <c r="S861" s="7"/>
      <c r="T861" s="7"/>
      <c r="U861" s="7"/>
      <c r="V861" s="7"/>
    </row>
    <row r="862" spans="1:22" ht="12.75" customHeight="1">
      <c r="A862" s="7"/>
      <c r="B862" s="7"/>
      <c r="C862" s="8"/>
      <c r="D862" s="66"/>
      <c r="E862" s="7"/>
      <c r="F862" s="7"/>
      <c r="G862" s="7"/>
      <c r="H862" s="7"/>
      <c r="I862" s="7"/>
      <c r="J862" s="7"/>
      <c r="K862" s="7"/>
      <c r="L862" s="7"/>
      <c r="M862" s="7"/>
      <c r="N862" s="7"/>
      <c r="O862" s="7"/>
      <c r="P862" s="7"/>
      <c r="Q862" s="7"/>
      <c r="R862" s="7"/>
      <c r="S862" s="7"/>
      <c r="T862" s="7"/>
      <c r="U862" s="7"/>
      <c r="V862" s="7"/>
    </row>
    <row r="863" spans="1:22" ht="12.75" customHeight="1">
      <c r="A863" s="7"/>
      <c r="B863" s="7"/>
      <c r="C863" s="8"/>
      <c r="D863" s="66"/>
      <c r="E863" s="7"/>
      <c r="F863" s="7"/>
      <c r="G863" s="7"/>
      <c r="H863" s="7"/>
      <c r="I863" s="7"/>
      <c r="J863" s="7"/>
      <c r="K863" s="7"/>
      <c r="L863" s="7"/>
      <c r="M863" s="7"/>
      <c r="N863" s="7"/>
      <c r="O863" s="7"/>
      <c r="P863" s="7"/>
      <c r="Q863" s="7"/>
      <c r="R863" s="7"/>
      <c r="S863" s="7"/>
      <c r="T863" s="7"/>
      <c r="U863" s="7"/>
      <c r="V863" s="7"/>
    </row>
    <row r="864" spans="1:22" ht="12.75" customHeight="1">
      <c r="A864" s="7"/>
      <c r="B864" s="7"/>
      <c r="C864" s="8"/>
      <c r="D864" s="66"/>
      <c r="E864" s="7"/>
      <c r="F864" s="7"/>
      <c r="G864" s="7"/>
      <c r="H864" s="7"/>
      <c r="I864" s="7"/>
      <c r="J864" s="7"/>
      <c r="K864" s="7"/>
      <c r="L864" s="7"/>
      <c r="M864" s="7"/>
      <c r="N864" s="7"/>
      <c r="O864" s="7"/>
      <c r="P864" s="7"/>
      <c r="Q864" s="7"/>
      <c r="R864" s="7"/>
      <c r="S864" s="7"/>
      <c r="T864" s="7"/>
      <c r="U864" s="7"/>
      <c r="V864" s="7"/>
    </row>
    <row r="865" spans="1:22" ht="12.75" customHeight="1">
      <c r="A865" s="7"/>
      <c r="B865" s="7"/>
      <c r="C865" s="8"/>
      <c r="D865" s="66"/>
      <c r="E865" s="7"/>
      <c r="F865" s="7"/>
      <c r="G865" s="7"/>
      <c r="H865" s="7"/>
      <c r="I865" s="7"/>
      <c r="J865" s="7"/>
      <c r="K865" s="7"/>
      <c r="L865" s="7"/>
      <c r="M865" s="7"/>
      <c r="N865" s="7"/>
      <c r="O865" s="7"/>
      <c r="P865" s="7"/>
      <c r="Q865" s="7"/>
      <c r="R865" s="7"/>
      <c r="S865" s="7"/>
      <c r="T865" s="7"/>
      <c r="U865" s="7"/>
      <c r="V865" s="7"/>
    </row>
    <row r="866" spans="1:22" ht="12.75" customHeight="1">
      <c r="A866" s="7"/>
      <c r="B866" s="7"/>
      <c r="C866" s="8"/>
      <c r="D866" s="66"/>
      <c r="E866" s="7"/>
      <c r="F866" s="7"/>
      <c r="G866" s="7"/>
      <c r="H866" s="7"/>
      <c r="I866" s="7"/>
      <c r="J866" s="7"/>
      <c r="K866" s="7"/>
      <c r="L866" s="7"/>
      <c r="M866" s="7"/>
      <c r="N866" s="7"/>
      <c r="O866" s="7"/>
      <c r="P866" s="7"/>
      <c r="Q866" s="7"/>
      <c r="R866" s="7"/>
      <c r="S866" s="7"/>
      <c r="T866" s="7"/>
      <c r="U866" s="7"/>
      <c r="V866" s="7"/>
    </row>
    <row r="867" spans="1:22" ht="12.75" customHeight="1">
      <c r="A867" s="7"/>
      <c r="B867" s="7"/>
      <c r="C867" s="8"/>
      <c r="D867" s="66"/>
      <c r="E867" s="7"/>
      <c r="F867" s="7"/>
      <c r="G867" s="7"/>
      <c r="H867" s="7"/>
      <c r="I867" s="7"/>
      <c r="J867" s="7"/>
      <c r="K867" s="7"/>
      <c r="L867" s="7"/>
      <c r="M867" s="7"/>
      <c r="N867" s="7"/>
      <c r="O867" s="7"/>
      <c r="P867" s="7"/>
      <c r="Q867" s="7"/>
      <c r="R867" s="7"/>
      <c r="S867" s="7"/>
      <c r="T867" s="7"/>
      <c r="U867" s="7"/>
      <c r="V867" s="7"/>
    </row>
    <row r="868" spans="1:22" ht="12.75" customHeight="1">
      <c r="A868" s="7"/>
      <c r="B868" s="7"/>
      <c r="C868" s="8"/>
      <c r="D868" s="66"/>
      <c r="E868" s="7"/>
      <c r="F868" s="7"/>
      <c r="G868" s="7"/>
      <c r="H868" s="7"/>
      <c r="I868" s="7"/>
      <c r="J868" s="7"/>
      <c r="K868" s="7"/>
      <c r="L868" s="7"/>
      <c r="M868" s="7"/>
      <c r="N868" s="7"/>
      <c r="O868" s="7"/>
      <c r="P868" s="7"/>
      <c r="Q868" s="7"/>
      <c r="R868" s="7"/>
      <c r="S868" s="7"/>
      <c r="T868" s="7"/>
      <c r="U868" s="7"/>
      <c r="V868" s="7"/>
    </row>
    <row r="869" spans="1:22" ht="12.75" customHeight="1">
      <c r="A869" s="7"/>
      <c r="B869" s="7"/>
      <c r="C869" s="8"/>
      <c r="D869" s="66"/>
      <c r="E869" s="7"/>
      <c r="F869" s="7"/>
      <c r="G869" s="7"/>
      <c r="H869" s="7"/>
      <c r="I869" s="7"/>
      <c r="J869" s="7"/>
      <c r="K869" s="7"/>
      <c r="L869" s="7"/>
      <c r="M869" s="7"/>
      <c r="N869" s="7"/>
      <c r="O869" s="7"/>
      <c r="P869" s="7"/>
      <c r="Q869" s="7"/>
      <c r="R869" s="7"/>
      <c r="S869" s="7"/>
      <c r="T869" s="7"/>
      <c r="U869" s="7"/>
      <c r="V869" s="7"/>
    </row>
    <row r="870" spans="1:22" ht="12.75" customHeight="1">
      <c r="A870" s="7"/>
      <c r="B870" s="7"/>
      <c r="C870" s="8"/>
      <c r="D870" s="66"/>
      <c r="E870" s="7"/>
      <c r="F870" s="7"/>
      <c r="G870" s="7"/>
      <c r="H870" s="7"/>
      <c r="I870" s="7"/>
      <c r="J870" s="7"/>
      <c r="K870" s="7"/>
      <c r="L870" s="7"/>
      <c r="M870" s="7"/>
      <c r="N870" s="7"/>
      <c r="O870" s="7"/>
      <c r="P870" s="7"/>
      <c r="Q870" s="7"/>
      <c r="R870" s="7"/>
      <c r="S870" s="7"/>
      <c r="T870" s="7"/>
      <c r="U870" s="7"/>
      <c r="V870" s="7"/>
    </row>
    <row r="871" spans="1:22" ht="12.75" customHeight="1">
      <c r="A871" s="7"/>
      <c r="B871" s="7"/>
      <c r="C871" s="8"/>
      <c r="D871" s="66"/>
      <c r="E871" s="7"/>
      <c r="F871" s="7"/>
      <c r="G871" s="7"/>
      <c r="H871" s="7"/>
      <c r="I871" s="7"/>
      <c r="J871" s="7"/>
      <c r="K871" s="7"/>
      <c r="L871" s="7"/>
      <c r="M871" s="7"/>
      <c r="N871" s="7"/>
      <c r="O871" s="7"/>
      <c r="P871" s="7"/>
      <c r="Q871" s="7"/>
      <c r="R871" s="7"/>
      <c r="S871" s="7"/>
      <c r="T871" s="7"/>
      <c r="U871" s="7"/>
      <c r="V871" s="7"/>
    </row>
    <row r="872" spans="1:22" ht="12.75" customHeight="1">
      <c r="A872" s="7"/>
      <c r="B872" s="7"/>
      <c r="C872" s="8"/>
      <c r="D872" s="66"/>
      <c r="E872" s="7"/>
      <c r="F872" s="7"/>
      <c r="G872" s="7"/>
      <c r="H872" s="7"/>
      <c r="I872" s="7"/>
      <c r="J872" s="7"/>
      <c r="K872" s="7"/>
      <c r="L872" s="7"/>
      <c r="M872" s="7"/>
      <c r="N872" s="7"/>
      <c r="O872" s="7"/>
      <c r="P872" s="7"/>
      <c r="Q872" s="7"/>
      <c r="R872" s="7"/>
      <c r="S872" s="7"/>
      <c r="T872" s="7"/>
      <c r="U872" s="7"/>
      <c r="V872" s="7"/>
    </row>
    <row r="873" spans="1:22" ht="12.75" customHeight="1">
      <c r="A873" s="7"/>
      <c r="B873" s="7"/>
      <c r="C873" s="8"/>
      <c r="D873" s="66"/>
      <c r="E873" s="7"/>
      <c r="F873" s="7"/>
      <c r="G873" s="7"/>
      <c r="H873" s="7"/>
      <c r="I873" s="7"/>
      <c r="J873" s="7"/>
      <c r="K873" s="7"/>
      <c r="L873" s="7"/>
      <c r="M873" s="7"/>
      <c r="N873" s="7"/>
      <c r="O873" s="7"/>
      <c r="P873" s="7"/>
      <c r="Q873" s="7"/>
      <c r="R873" s="7"/>
      <c r="S873" s="7"/>
      <c r="T873" s="7"/>
      <c r="U873" s="7"/>
      <c r="V873" s="7"/>
    </row>
    <row r="874" spans="1:22" ht="12.75" customHeight="1">
      <c r="A874" s="7"/>
      <c r="B874" s="7"/>
      <c r="C874" s="8"/>
      <c r="D874" s="66"/>
      <c r="E874" s="7"/>
      <c r="F874" s="7"/>
      <c r="G874" s="7"/>
      <c r="H874" s="7"/>
      <c r="I874" s="7"/>
      <c r="J874" s="7"/>
      <c r="K874" s="7"/>
      <c r="L874" s="7"/>
      <c r="M874" s="7"/>
      <c r="N874" s="7"/>
      <c r="O874" s="7"/>
      <c r="P874" s="7"/>
      <c r="Q874" s="7"/>
      <c r="R874" s="7"/>
      <c r="S874" s="7"/>
      <c r="T874" s="7"/>
      <c r="U874" s="7"/>
      <c r="V874" s="7"/>
    </row>
    <row r="875" spans="1:22" ht="12.75" customHeight="1">
      <c r="A875" s="7"/>
      <c r="B875" s="7"/>
      <c r="C875" s="8"/>
      <c r="D875" s="66"/>
      <c r="E875" s="7"/>
      <c r="F875" s="7"/>
      <c r="G875" s="7"/>
      <c r="H875" s="7"/>
      <c r="I875" s="7"/>
      <c r="J875" s="7"/>
      <c r="K875" s="7"/>
      <c r="L875" s="7"/>
      <c r="M875" s="7"/>
      <c r="N875" s="7"/>
      <c r="O875" s="7"/>
      <c r="P875" s="7"/>
      <c r="Q875" s="7"/>
      <c r="R875" s="7"/>
      <c r="S875" s="7"/>
      <c r="T875" s="7"/>
      <c r="U875" s="7"/>
      <c r="V875" s="7"/>
    </row>
    <row r="876" spans="1:22" ht="12.75" customHeight="1">
      <c r="A876" s="7"/>
      <c r="B876" s="7"/>
      <c r="C876" s="8"/>
      <c r="D876" s="66"/>
      <c r="E876" s="7"/>
      <c r="F876" s="7"/>
      <c r="G876" s="7"/>
      <c r="H876" s="7"/>
      <c r="I876" s="7"/>
      <c r="J876" s="7"/>
      <c r="K876" s="7"/>
      <c r="L876" s="7"/>
      <c r="M876" s="7"/>
      <c r="N876" s="7"/>
      <c r="O876" s="7"/>
      <c r="P876" s="7"/>
      <c r="Q876" s="7"/>
      <c r="R876" s="7"/>
      <c r="S876" s="7"/>
      <c r="T876" s="7"/>
      <c r="U876" s="7"/>
      <c r="V876" s="7"/>
    </row>
    <row r="877" spans="1:22" ht="12.75" customHeight="1">
      <c r="A877" s="7"/>
      <c r="B877" s="7"/>
      <c r="C877" s="8"/>
      <c r="D877" s="66"/>
      <c r="E877" s="7"/>
      <c r="F877" s="7"/>
      <c r="G877" s="7"/>
      <c r="H877" s="7"/>
      <c r="I877" s="7"/>
      <c r="J877" s="7"/>
      <c r="K877" s="7"/>
      <c r="L877" s="7"/>
      <c r="M877" s="7"/>
      <c r="N877" s="7"/>
      <c r="O877" s="7"/>
      <c r="P877" s="7"/>
      <c r="Q877" s="7"/>
      <c r="R877" s="7"/>
      <c r="S877" s="7"/>
      <c r="T877" s="7"/>
      <c r="U877" s="7"/>
      <c r="V877" s="7"/>
    </row>
    <row r="878" spans="1:22" ht="12.75" customHeight="1">
      <c r="A878" s="7"/>
      <c r="B878" s="7"/>
      <c r="C878" s="8"/>
      <c r="D878" s="66"/>
      <c r="E878" s="7"/>
      <c r="F878" s="7"/>
      <c r="G878" s="7"/>
      <c r="H878" s="7"/>
      <c r="I878" s="7"/>
      <c r="J878" s="7"/>
      <c r="K878" s="7"/>
      <c r="L878" s="7"/>
      <c r="M878" s="7"/>
      <c r="N878" s="7"/>
      <c r="O878" s="7"/>
      <c r="P878" s="7"/>
      <c r="Q878" s="7"/>
      <c r="R878" s="7"/>
      <c r="S878" s="7"/>
      <c r="T878" s="7"/>
      <c r="U878" s="7"/>
      <c r="V878" s="7"/>
    </row>
    <row r="879" spans="1:22" ht="12.75" customHeight="1">
      <c r="A879" s="7"/>
      <c r="B879" s="7"/>
      <c r="C879" s="8"/>
      <c r="D879" s="66"/>
      <c r="E879" s="7"/>
      <c r="F879" s="7"/>
      <c r="G879" s="7"/>
      <c r="H879" s="7"/>
      <c r="I879" s="7"/>
      <c r="J879" s="7"/>
      <c r="K879" s="7"/>
      <c r="L879" s="7"/>
      <c r="M879" s="7"/>
      <c r="N879" s="7"/>
      <c r="O879" s="7"/>
      <c r="P879" s="7"/>
      <c r="Q879" s="7"/>
      <c r="R879" s="7"/>
      <c r="S879" s="7"/>
      <c r="T879" s="7"/>
      <c r="U879" s="7"/>
      <c r="V879" s="7"/>
    </row>
    <row r="880" spans="1:22" ht="12.75" customHeight="1">
      <c r="A880" s="7"/>
      <c r="B880" s="7"/>
      <c r="C880" s="8"/>
      <c r="D880" s="66"/>
      <c r="E880" s="7"/>
      <c r="F880" s="7"/>
      <c r="G880" s="7"/>
      <c r="H880" s="7"/>
      <c r="I880" s="7"/>
      <c r="J880" s="7"/>
      <c r="K880" s="7"/>
      <c r="L880" s="7"/>
      <c r="M880" s="7"/>
      <c r="N880" s="7"/>
      <c r="O880" s="7"/>
      <c r="P880" s="7"/>
      <c r="Q880" s="7"/>
      <c r="R880" s="7"/>
      <c r="S880" s="7"/>
      <c r="T880" s="7"/>
      <c r="U880" s="7"/>
      <c r="V880" s="7"/>
    </row>
    <row r="881" spans="1:22" ht="12.75" customHeight="1">
      <c r="A881" s="7"/>
      <c r="B881" s="7"/>
      <c r="C881" s="8"/>
      <c r="D881" s="66"/>
      <c r="E881" s="7"/>
      <c r="F881" s="7"/>
      <c r="G881" s="7"/>
      <c r="H881" s="7"/>
      <c r="I881" s="7"/>
      <c r="J881" s="7"/>
      <c r="K881" s="7"/>
      <c r="L881" s="7"/>
      <c r="M881" s="7"/>
      <c r="N881" s="7"/>
      <c r="O881" s="7"/>
      <c r="P881" s="7"/>
      <c r="Q881" s="7"/>
      <c r="R881" s="7"/>
      <c r="S881" s="7"/>
      <c r="T881" s="7"/>
      <c r="U881" s="7"/>
      <c r="V881" s="7"/>
    </row>
    <row r="882" spans="1:22" ht="12.75" customHeight="1">
      <c r="A882" s="7"/>
      <c r="B882" s="7"/>
      <c r="C882" s="8"/>
      <c r="D882" s="66"/>
      <c r="E882" s="7"/>
      <c r="F882" s="7"/>
      <c r="G882" s="7"/>
      <c r="H882" s="7"/>
      <c r="I882" s="7"/>
      <c r="J882" s="7"/>
      <c r="K882" s="7"/>
      <c r="L882" s="7"/>
      <c r="M882" s="7"/>
      <c r="N882" s="7"/>
      <c r="O882" s="7"/>
      <c r="P882" s="7"/>
      <c r="Q882" s="7"/>
      <c r="R882" s="7"/>
      <c r="S882" s="7"/>
      <c r="T882" s="7"/>
      <c r="U882" s="7"/>
      <c r="V882" s="7"/>
    </row>
    <row r="883" spans="1:22" ht="12.75" customHeight="1">
      <c r="A883" s="7"/>
      <c r="B883" s="7"/>
      <c r="C883" s="8"/>
      <c r="D883" s="66"/>
      <c r="E883" s="7"/>
      <c r="F883" s="7"/>
      <c r="G883" s="7"/>
      <c r="H883" s="7"/>
      <c r="I883" s="7"/>
      <c r="J883" s="7"/>
      <c r="K883" s="7"/>
      <c r="L883" s="7"/>
      <c r="M883" s="7"/>
      <c r="N883" s="7"/>
      <c r="O883" s="7"/>
      <c r="P883" s="7"/>
      <c r="Q883" s="7"/>
      <c r="R883" s="7"/>
      <c r="S883" s="7"/>
      <c r="T883" s="7"/>
      <c r="U883" s="7"/>
      <c r="V883" s="7"/>
    </row>
    <row r="884" spans="1:22" ht="12.75" customHeight="1">
      <c r="A884" s="7"/>
      <c r="B884" s="7"/>
      <c r="C884" s="8"/>
      <c r="D884" s="66"/>
      <c r="E884" s="7"/>
      <c r="F884" s="7"/>
      <c r="G884" s="7"/>
      <c r="H884" s="7"/>
      <c r="I884" s="7"/>
      <c r="J884" s="7"/>
      <c r="K884" s="7"/>
      <c r="L884" s="7"/>
      <c r="M884" s="7"/>
      <c r="N884" s="7"/>
      <c r="O884" s="7"/>
      <c r="P884" s="7"/>
      <c r="Q884" s="7"/>
      <c r="R884" s="7"/>
      <c r="S884" s="7"/>
      <c r="T884" s="7"/>
      <c r="U884" s="7"/>
      <c r="V884" s="7"/>
    </row>
    <row r="885" spans="1:22" ht="12.75" customHeight="1">
      <c r="A885" s="7"/>
      <c r="B885" s="7"/>
      <c r="C885" s="8"/>
      <c r="D885" s="66"/>
      <c r="E885" s="7"/>
      <c r="F885" s="7"/>
      <c r="G885" s="7"/>
      <c r="H885" s="7"/>
      <c r="I885" s="7"/>
      <c r="J885" s="7"/>
      <c r="K885" s="7"/>
      <c r="L885" s="7"/>
      <c r="M885" s="7"/>
      <c r="N885" s="7"/>
      <c r="O885" s="7"/>
      <c r="P885" s="7"/>
      <c r="Q885" s="7"/>
      <c r="R885" s="7"/>
      <c r="S885" s="7"/>
      <c r="T885" s="7"/>
      <c r="U885" s="7"/>
      <c r="V885" s="7"/>
    </row>
    <row r="886" spans="1:22" ht="12.75" customHeight="1">
      <c r="A886" s="7"/>
      <c r="B886" s="7"/>
      <c r="C886" s="8"/>
      <c r="D886" s="66"/>
      <c r="E886" s="7"/>
      <c r="F886" s="7"/>
      <c r="G886" s="7"/>
      <c r="H886" s="7"/>
      <c r="I886" s="7"/>
      <c r="J886" s="7"/>
      <c r="K886" s="7"/>
      <c r="L886" s="7"/>
      <c r="M886" s="7"/>
      <c r="N886" s="7"/>
      <c r="O886" s="7"/>
      <c r="P886" s="7"/>
      <c r="Q886" s="7"/>
      <c r="R886" s="7"/>
      <c r="S886" s="7"/>
      <c r="T886" s="7"/>
      <c r="U886" s="7"/>
      <c r="V886" s="7"/>
    </row>
    <row r="887" spans="1:22" ht="12.75" customHeight="1">
      <c r="A887" s="7"/>
      <c r="B887" s="7"/>
      <c r="C887" s="8"/>
      <c r="D887" s="66"/>
      <c r="E887" s="7"/>
      <c r="F887" s="7"/>
      <c r="G887" s="7"/>
      <c r="H887" s="7"/>
      <c r="I887" s="7"/>
      <c r="J887" s="7"/>
      <c r="K887" s="7"/>
      <c r="L887" s="7"/>
      <c r="M887" s="7"/>
      <c r="N887" s="7"/>
      <c r="O887" s="7"/>
      <c r="P887" s="7"/>
      <c r="Q887" s="7"/>
      <c r="R887" s="7"/>
      <c r="S887" s="7"/>
      <c r="T887" s="7"/>
      <c r="U887" s="7"/>
      <c r="V887" s="7"/>
    </row>
    <row r="888" spans="1:22" ht="12.75" customHeight="1">
      <c r="A888" s="7"/>
      <c r="B888" s="7"/>
      <c r="C888" s="8"/>
      <c r="D888" s="66"/>
      <c r="E888" s="7"/>
      <c r="F888" s="7"/>
      <c r="G888" s="7"/>
      <c r="H888" s="7"/>
      <c r="I888" s="7"/>
      <c r="J888" s="7"/>
      <c r="K888" s="7"/>
      <c r="L888" s="7"/>
      <c r="M888" s="7"/>
      <c r="N888" s="7"/>
      <c r="O888" s="7"/>
      <c r="P888" s="7"/>
      <c r="Q888" s="7"/>
      <c r="R888" s="7"/>
      <c r="S888" s="7"/>
      <c r="T888" s="7"/>
      <c r="U888" s="7"/>
      <c r="V888" s="7"/>
    </row>
    <row r="889" spans="1:22" ht="12.75" customHeight="1">
      <c r="A889" s="7"/>
      <c r="B889" s="7"/>
      <c r="C889" s="8"/>
      <c r="D889" s="66"/>
      <c r="E889" s="7"/>
      <c r="F889" s="7"/>
      <c r="G889" s="7"/>
      <c r="H889" s="7"/>
      <c r="I889" s="7"/>
      <c r="J889" s="7"/>
      <c r="K889" s="7"/>
      <c r="L889" s="7"/>
      <c r="M889" s="7"/>
      <c r="N889" s="7"/>
      <c r="O889" s="7"/>
      <c r="P889" s="7"/>
      <c r="Q889" s="7"/>
      <c r="R889" s="7"/>
      <c r="S889" s="7"/>
      <c r="T889" s="7"/>
      <c r="U889" s="7"/>
      <c r="V889" s="7"/>
    </row>
    <row r="890" spans="1:22" ht="12.75" customHeight="1">
      <c r="A890" s="7"/>
      <c r="B890" s="7"/>
      <c r="C890" s="8"/>
      <c r="D890" s="66"/>
      <c r="E890" s="7"/>
      <c r="F890" s="7"/>
      <c r="G890" s="7"/>
      <c r="H890" s="7"/>
      <c r="I890" s="7"/>
      <c r="J890" s="7"/>
      <c r="K890" s="7"/>
      <c r="L890" s="7"/>
      <c r="M890" s="7"/>
      <c r="N890" s="7"/>
      <c r="O890" s="7"/>
      <c r="P890" s="7"/>
      <c r="Q890" s="7"/>
      <c r="R890" s="7"/>
      <c r="S890" s="7"/>
      <c r="T890" s="7"/>
      <c r="U890" s="7"/>
      <c r="V890" s="7"/>
    </row>
    <row r="891" spans="1:22" ht="12.75" customHeight="1">
      <c r="A891" s="7"/>
      <c r="B891" s="7"/>
      <c r="C891" s="8"/>
      <c r="D891" s="66"/>
      <c r="E891" s="7"/>
      <c r="F891" s="7"/>
      <c r="G891" s="7"/>
      <c r="H891" s="7"/>
      <c r="I891" s="7"/>
      <c r="J891" s="7"/>
      <c r="K891" s="7"/>
      <c r="L891" s="7"/>
      <c r="M891" s="7"/>
      <c r="N891" s="7"/>
      <c r="O891" s="7"/>
      <c r="P891" s="7"/>
      <c r="Q891" s="7"/>
      <c r="R891" s="7"/>
      <c r="S891" s="7"/>
      <c r="T891" s="7"/>
      <c r="U891" s="7"/>
      <c r="V891" s="7"/>
    </row>
    <row r="892" spans="1:22" ht="12.75" customHeight="1">
      <c r="A892" s="7"/>
      <c r="B892" s="7"/>
      <c r="C892" s="8"/>
      <c r="D892" s="66"/>
      <c r="E892" s="7"/>
      <c r="F892" s="7"/>
      <c r="G892" s="7"/>
      <c r="H892" s="7"/>
      <c r="I892" s="7"/>
      <c r="J892" s="7"/>
      <c r="K892" s="7"/>
      <c r="L892" s="7"/>
      <c r="M892" s="7"/>
      <c r="N892" s="7"/>
      <c r="O892" s="7"/>
      <c r="P892" s="7"/>
      <c r="Q892" s="7"/>
      <c r="R892" s="7"/>
      <c r="S892" s="7"/>
      <c r="T892" s="7"/>
      <c r="U892" s="7"/>
      <c r="V892" s="7"/>
    </row>
    <row r="893" spans="1:22" ht="12.75" customHeight="1">
      <c r="A893" s="7"/>
      <c r="B893" s="7"/>
      <c r="C893" s="8"/>
      <c r="D893" s="66"/>
      <c r="E893" s="7"/>
      <c r="F893" s="7"/>
      <c r="G893" s="7"/>
      <c r="H893" s="7"/>
      <c r="I893" s="7"/>
      <c r="J893" s="7"/>
      <c r="K893" s="7"/>
      <c r="L893" s="7"/>
      <c r="M893" s="7"/>
      <c r="N893" s="7"/>
      <c r="O893" s="7"/>
      <c r="P893" s="7"/>
      <c r="Q893" s="7"/>
      <c r="R893" s="7"/>
      <c r="S893" s="7"/>
      <c r="T893" s="7"/>
      <c r="U893" s="7"/>
      <c r="V893" s="7"/>
    </row>
    <row r="894" spans="1:22" ht="12.75" customHeight="1">
      <c r="A894" s="7"/>
      <c r="B894" s="7"/>
      <c r="C894" s="8"/>
      <c r="D894" s="66"/>
      <c r="E894" s="7"/>
      <c r="F894" s="7"/>
      <c r="G894" s="7"/>
      <c r="H894" s="7"/>
      <c r="I894" s="7"/>
      <c r="J894" s="7"/>
      <c r="K894" s="7"/>
      <c r="L894" s="7"/>
      <c r="M894" s="7"/>
      <c r="N894" s="7"/>
      <c r="O894" s="7"/>
      <c r="P894" s="7"/>
      <c r="Q894" s="7"/>
      <c r="R894" s="7"/>
      <c r="S894" s="7"/>
      <c r="T894" s="7"/>
      <c r="U894" s="7"/>
      <c r="V894" s="7"/>
    </row>
    <row r="895" spans="1:22" ht="12.75" customHeight="1">
      <c r="A895" s="7"/>
      <c r="B895" s="7"/>
      <c r="C895" s="8"/>
      <c r="D895" s="66"/>
      <c r="E895" s="7"/>
      <c r="F895" s="7"/>
      <c r="G895" s="7"/>
      <c r="H895" s="7"/>
      <c r="I895" s="7"/>
      <c r="J895" s="7"/>
      <c r="K895" s="7"/>
      <c r="L895" s="7"/>
      <c r="M895" s="7"/>
      <c r="N895" s="7"/>
      <c r="O895" s="7"/>
      <c r="P895" s="7"/>
      <c r="Q895" s="7"/>
      <c r="R895" s="7"/>
      <c r="S895" s="7"/>
      <c r="T895" s="7"/>
      <c r="U895" s="7"/>
      <c r="V895" s="7"/>
    </row>
    <row r="896" spans="1:22" ht="12.75" customHeight="1">
      <c r="A896" s="7"/>
      <c r="B896" s="7"/>
      <c r="C896" s="8"/>
      <c r="D896" s="66"/>
      <c r="E896" s="7"/>
      <c r="F896" s="7"/>
      <c r="G896" s="7"/>
      <c r="H896" s="7"/>
      <c r="I896" s="7"/>
      <c r="J896" s="7"/>
      <c r="K896" s="7"/>
      <c r="L896" s="7"/>
      <c r="M896" s="7"/>
      <c r="N896" s="7"/>
      <c r="O896" s="7"/>
      <c r="P896" s="7"/>
      <c r="Q896" s="7"/>
      <c r="R896" s="7"/>
      <c r="S896" s="7"/>
      <c r="T896" s="7"/>
      <c r="U896" s="7"/>
      <c r="V896" s="7"/>
    </row>
    <row r="897" spans="1:22" ht="12.75" customHeight="1">
      <c r="A897" s="7"/>
      <c r="B897" s="7"/>
      <c r="C897" s="8"/>
      <c r="D897" s="66"/>
      <c r="E897" s="7"/>
      <c r="F897" s="7"/>
      <c r="G897" s="7"/>
      <c r="H897" s="7"/>
      <c r="I897" s="7"/>
      <c r="J897" s="7"/>
      <c r="K897" s="7"/>
      <c r="L897" s="7"/>
      <c r="M897" s="7"/>
      <c r="N897" s="7"/>
      <c r="O897" s="7"/>
      <c r="P897" s="7"/>
      <c r="Q897" s="7"/>
      <c r="R897" s="7"/>
      <c r="S897" s="7"/>
      <c r="T897" s="7"/>
      <c r="U897" s="7"/>
      <c r="V897" s="7"/>
    </row>
    <row r="898" spans="1:22" ht="12.75" customHeight="1">
      <c r="A898" s="7"/>
      <c r="B898" s="7"/>
      <c r="C898" s="8"/>
      <c r="D898" s="66"/>
      <c r="E898" s="7"/>
      <c r="F898" s="7"/>
      <c r="G898" s="7"/>
      <c r="H898" s="7"/>
      <c r="I898" s="7"/>
      <c r="J898" s="7"/>
      <c r="K898" s="7"/>
      <c r="L898" s="7"/>
      <c r="M898" s="7"/>
      <c r="N898" s="7"/>
      <c r="O898" s="7"/>
      <c r="P898" s="7"/>
      <c r="Q898" s="7"/>
      <c r="R898" s="7"/>
      <c r="S898" s="7"/>
      <c r="T898" s="7"/>
      <c r="U898" s="7"/>
      <c r="V898" s="7"/>
    </row>
    <row r="899" spans="1:22" ht="12.75" customHeight="1">
      <c r="A899" s="7"/>
      <c r="B899" s="7"/>
      <c r="C899" s="8"/>
      <c r="D899" s="66"/>
      <c r="E899" s="7"/>
      <c r="F899" s="7"/>
      <c r="G899" s="7"/>
      <c r="H899" s="7"/>
      <c r="I899" s="7"/>
      <c r="J899" s="7"/>
      <c r="K899" s="7"/>
      <c r="L899" s="7"/>
      <c r="M899" s="7"/>
      <c r="N899" s="7"/>
      <c r="O899" s="7"/>
      <c r="P899" s="7"/>
      <c r="Q899" s="7"/>
      <c r="R899" s="7"/>
      <c r="S899" s="7"/>
      <c r="T899" s="7"/>
      <c r="U899" s="7"/>
      <c r="V899" s="7"/>
    </row>
    <row r="900" spans="1:22" ht="12.75" customHeight="1">
      <c r="A900" s="7"/>
      <c r="B900" s="7"/>
      <c r="C900" s="8"/>
      <c r="D900" s="66"/>
      <c r="E900" s="7"/>
      <c r="F900" s="7"/>
      <c r="G900" s="7"/>
      <c r="H900" s="7"/>
      <c r="I900" s="7"/>
      <c r="J900" s="7"/>
      <c r="K900" s="7"/>
      <c r="L900" s="7"/>
      <c r="M900" s="7"/>
      <c r="N900" s="7"/>
      <c r="O900" s="7"/>
      <c r="P900" s="7"/>
      <c r="Q900" s="7"/>
      <c r="R900" s="7"/>
      <c r="S900" s="7"/>
      <c r="T900" s="7"/>
      <c r="U900" s="7"/>
      <c r="V900" s="7"/>
    </row>
    <row r="901" spans="1:22" ht="12.75" customHeight="1">
      <c r="A901" s="7"/>
      <c r="B901" s="7"/>
      <c r="C901" s="8"/>
      <c r="D901" s="66"/>
      <c r="E901" s="7"/>
      <c r="F901" s="7"/>
      <c r="G901" s="7"/>
      <c r="H901" s="7"/>
      <c r="I901" s="7"/>
      <c r="J901" s="7"/>
      <c r="K901" s="7"/>
      <c r="L901" s="7"/>
      <c r="M901" s="7"/>
      <c r="N901" s="7"/>
      <c r="O901" s="7"/>
      <c r="P901" s="7"/>
      <c r="Q901" s="7"/>
      <c r="R901" s="7"/>
      <c r="S901" s="7"/>
      <c r="T901" s="7"/>
      <c r="U901" s="7"/>
      <c r="V901" s="7"/>
    </row>
    <row r="902" spans="1:22" ht="12.75" customHeight="1">
      <c r="A902" s="7"/>
      <c r="B902" s="7"/>
      <c r="C902" s="8"/>
      <c r="D902" s="66"/>
      <c r="E902" s="7"/>
      <c r="F902" s="7"/>
      <c r="G902" s="7"/>
      <c r="H902" s="7"/>
      <c r="I902" s="7"/>
      <c r="J902" s="7"/>
      <c r="K902" s="7"/>
      <c r="L902" s="7"/>
      <c r="M902" s="7"/>
      <c r="N902" s="7"/>
      <c r="O902" s="7"/>
      <c r="P902" s="7"/>
      <c r="Q902" s="7"/>
      <c r="R902" s="7"/>
      <c r="S902" s="7"/>
      <c r="T902" s="7"/>
      <c r="U902" s="7"/>
      <c r="V902" s="7"/>
    </row>
    <row r="903" spans="1:22" ht="12.75" customHeight="1">
      <c r="A903" s="7"/>
      <c r="B903" s="7"/>
      <c r="C903" s="8"/>
      <c r="D903" s="66"/>
      <c r="E903" s="7"/>
      <c r="F903" s="7"/>
      <c r="G903" s="7"/>
      <c r="H903" s="7"/>
      <c r="I903" s="7"/>
      <c r="J903" s="7"/>
      <c r="K903" s="7"/>
      <c r="L903" s="7"/>
      <c r="M903" s="7"/>
      <c r="N903" s="7"/>
      <c r="O903" s="7"/>
      <c r="P903" s="7"/>
      <c r="Q903" s="7"/>
      <c r="R903" s="7"/>
      <c r="S903" s="7"/>
      <c r="T903" s="7"/>
      <c r="U903" s="7"/>
      <c r="V903" s="7"/>
    </row>
    <row r="904" spans="1:22" ht="12.75" customHeight="1">
      <c r="A904" s="7"/>
      <c r="B904" s="7"/>
      <c r="C904" s="8"/>
      <c r="D904" s="66"/>
      <c r="E904" s="7"/>
      <c r="F904" s="7"/>
      <c r="G904" s="7"/>
      <c r="H904" s="7"/>
      <c r="I904" s="7"/>
      <c r="J904" s="7"/>
      <c r="K904" s="7"/>
      <c r="L904" s="7"/>
      <c r="M904" s="7"/>
      <c r="N904" s="7"/>
      <c r="O904" s="7"/>
      <c r="P904" s="7"/>
      <c r="Q904" s="7"/>
      <c r="R904" s="7"/>
      <c r="S904" s="7"/>
      <c r="T904" s="7"/>
      <c r="U904" s="7"/>
      <c r="V904" s="7"/>
    </row>
    <row r="905" spans="1:22" ht="12.75" customHeight="1">
      <c r="A905" s="7"/>
      <c r="B905" s="7"/>
      <c r="C905" s="8"/>
      <c r="D905" s="66"/>
      <c r="E905" s="7"/>
      <c r="F905" s="7"/>
      <c r="G905" s="7"/>
      <c r="H905" s="7"/>
      <c r="I905" s="7"/>
      <c r="J905" s="7"/>
      <c r="K905" s="7"/>
      <c r="L905" s="7"/>
      <c r="M905" s="7"/>
      <c r="N905" s="7"/>
      <c r="O905" s="7"/>
      <c r="P905" s="7"/>
      <c r="Q905" s="7"/>
      <c r="R905" s="7"/>
      <c r="S905" s="7"/>
      <c r="T905" s="7"/>
      <c r="U905" s="7"/>
      <c r="V905" s="7"/>
    </row>
    <row r="906" spans="1:22" ht="12.75" customHeight="1">
      <c r="A906" s="7"/>
      <c r="B906" s="7"/>
      <c r="C906" s="8"/>
      <c r="D906" s="66"/>
      <c r="E906" s="7"/>
      <c r="F906" s="7"/>
      <c r="G906" s="7"/>
      <c r="H906" s="7"/>
      <c r="I906" s="7"/>
      <c r="J906" s="7"/>
      <c r="K906" s="7"/>
      <c r="L906" s="7"/>
      <c r="M906" s="7"/>
      <c r="N906" s="7"/>
      <c r="O906" s="7"/>
      <c r="P906" s="7"/>
      <c r="Q906" s="7"/>
      <c r="R906" s="7"/>
      <c r="S906" s="7"/>
      <c r="T906" s="7"/>
      <c r="U906" s="7"/>
      <c r="V906" s="7"/>
    </row>
    <row r="907" spans="1:22" ht="12.75" customHeight="1">
      <c r="A907" s="7"/>
      <c r="B907" s="7"/>
      <c r="C907" s="8"/>
      <c r="D907" s="66"/>
      <c r="E907" s="7"/>
      <c r="F907" s="7"/>
      <c r="G907" s="7"/>
      <c r="H907" s="7"/>
      <c r="I907" s="7"/>
      <c r="J907" s="7"/>
      <c r="K907" s="7"/>
      <c r="L907" s="7"/>
      <c r="M907" s="7"/>
      <c r="N907" s="7"/>
      <c r="O907" s="7"/>
      <c r="P907" s="7"/>
      <c r="Q907" s="7"/>
      <c r="R907" s="7"/>
      <c r="S907" s="7"/>
      <c r="T907" s="7"/>
      <c r="U907" s="7"/>
      <c r="V907" s="7"/>
    </row>
    <row r="908" spans="1:22" ht="12.75" customHeight="1">
      <c r="A908" s="7"/>
      <c r="B908" s="7"/>
      <c r="C908" s="8"/>
      <c r="D908" s="66"/>
      <c r="E908" s="7"/>
      <c r="F908" s="7"/>
      <c r="G908" s="7"/>
      <c r="H908" s="7"/>
      <c r="I908" s="7"/>
      <c r="J908" s="7"/>
      <c r="K908" s="7"/>
      <c r="L908" s="7"/>
      <c r="M908" s="7"/>
      <c r="N908" s="7"/>
      <c r="O908" s="7"/>
      <c r="P908" s="7"/>
      <c r="Q908" s="7"/>
      <c r="R908" s="7"/>
      <c r="S908" s="7"/>
      <c r="T908" s="7"/>
      <c r="U908" s="7"/>
      <c r="V908" s="7"/>
    </row>
    <row r="909" spans="1:22" ht="12.75" customHeight="1">
      <c r="A909" s="7"/>
      <c r="B909" s="7"/>
      <c r="C909" s="8"/>
      <c r="D909" s="66"/>
      <c r="E909" s="7"/>
      <c r="F909" s="7"/>
      <c r="G909" s="7"/>
      <c r="H909" s="7"/>
      <c r="I909" s="7"/>
      <c r="J909" s="7"/>
      <c r="K909" s="7"/>
      <c r="L909" s="7"/>
      <c r="M909" s="7"/>
      <c r="N909" s="7"/>
      <c r="O909" s="7"/>
      <c r="P909" s="7"/>
      <c r="Q909" s="7"/>
      <c r="R909" s="7"/>
      <c r="S909" s="7"/>
      <c r="T909" s="7"/>
      <c r="U909" s="7"/>
      <c r="V909" s="7"/>
    </row>
    <row r="910" spans="1:22" ht="12.75" customHeight="1">
      <c r="A910" s="7"/>
      <c r="B910" s="7"/>
      <c r="C910" s="8"/>
      <c r="D910" s="66"/>
      <c r="E910" s="7"/>
      <c r="F910" s="7"/>
      <c r="G910" s="7"/>
      <c r="H910" s="7"/>
      <c r="I910" s="7"/>
      <c r="J910" s="7"/>
      <c r="K910" s="7"/>
      <c r="L910" s="7"/>
      <c r="M910" s="7"/>
      <c r="N910" s="7"/>
      <c r="O910" s="7"/>
      <c r="P910" s="7"/>
      <c r="Q910" s="7"/>
      <c r="R910" s="7"/>
      <c r="S910" s="7"/>
      <c r="T910" s="7"/>
      <c r="U910" s="7"/>
      <c r="V910" s="7"/>
    </row>
    <row r="911" spans="1:22" ht="12.75" customHeight="1">
      <c r="A911" s="7"/>
      <c r="B911" s="7"/>
      <c r="C911" s="8"/>
      <c r="D911" s="66"/>
      <c r="E911" s="7"/>
      <c r="F911" s="7"/>
      <c r="G911" s="7"/>
      <c r="H911" s="7"/>
      <c r="I911" s="7"/>
      <c r="J911" s="7"/>
      <c r="K911" s="7"/>
      <c r="L911" s="7"/>
      <c r="M911" s="7"/>
      <c r="N911" s="7"/>
      <c r="O911" s="7"/>
      <c r="P911" s="7"/>
      <c r="Q911" s="7"/>
      <c r="R911" s="7"/>
      <c r="S911" s="7"/>
      <c r="T911" s="7"/>
      <c r="U911" s="7"/>
      <c r="V911" s="7"/>
    </row>
    <row r="912" spans="1:22" ht="12.75" customHeight="1">
      <c r="A912" s="7"/>
      <c r="B912" s="7"/>
      <c r="C912" s="8"/>
      <c r="D912" s="66"/>
      <c r="E912" s="7"/>
      <c r="F912" s="7"/>
      <c r="G912" s="7"/>
      <c r="H912" s="7"/>
      <c r="I912" s="7"/>
      <c r="J912" s="7"/>
      <c r="K912" s="7"/>
      <c r="L912" s="7"/>
      <c r="M912" s="7"/>
      <c r="N912" s="7"/>
      <c r="O912" s="7"/>
      <c r="P912" s="7"/>
      <c r="Q912" s="7"/>
      <c r="R912" s="7"/>
      <c r="S912" s="7"/>
      <c r="T912" s="7"/>
      <c r="U912" s="7"/>
      <c r="V912" s="7"/>
    </row>
    <row r="913" spans="1:22" ht="12.75" customHeight="1">
      <c r="A913" s="7"/>
      <c r="B913" s="7"/>
      <c r="C913" s="8"/>
      <c r="D913" s="66"/>
      <c r="E913" s="7"/>
      <c r="F913" s="7"/>
      <c r="G913" s="7"/>
      <c r="H913" s="7"/>
      <c r="I913" s="7"/>
      <c r="J913" s="7"/>
      <c r="K913" s="7"/>
      <c r="L913" s="7"/>
      <c r="M913" s="7"/>
      <c r="N913" s="7"/>
      <c r="O913" s="7"/>
      <c r="P913" s="7"/>
      <c r="Q913" s="7"/>
      <c r="R913" s="7"/>
      <c r="S913" s="7"/>
      <c r="T913" s="7"/>
      <c r="U913" s="7"/>
      <c r="V913" s="7"/>
    </row>
    <row r="914" spans="1:22" ht="12.75" customHeight="1">
      <c r="A914" s="7"/>
      <c r="B914" s="7"/>
      <c r="C914" s="8"/>
      <c r="D914" s="66"/>
      <c r="E914" s="7"/>
      <c r="F914" s="7"/>
      <c r="G914" s="7"/>
      <c r="H914" s="7"/>
      <c r="I914" s="7"/>
      <c r="J914" s="7"/>
      <c r="K914" s="7"/>
      <c r="L914" s="7"/>
      <c r="M914" s="7"/>
      <c r="N914" s="7"/>
      <c r="O914" s="7"/>
      <c r="P914" s="7"/>
      <c r="Q914" s="7"/>
      <c r="R914" s="7"/>
      <c r="S914" s="7"/>
      <c r="T914" s="7"/>
      <c r="U914" s="7"/>
      <c r="V914" s="7"/>
    </row>
    <row r="915" spans="1:22" ht="12.75" customHeight="1">
      <c r="A915" s="7"/>
      <c r="B915" s="7"/>
      <c r="C915" s="8"/>
      <c r="D915" s="66"/>
      <c r="E915" s="7"/>
      <c r="F915" s="7"/>
      <c r="G915" s="7"/>
      <c r="H915" s="7"/>
      <c r="I915" s="7"/>
      <c r="J915" s="7"/>
      <c r="K915" s="7"/>
      <c r="L915" s="7"/>
      <c r="M915" s="7"/>
      <c r="N915" s="7"/>
      <c r="O915" s="7"/>
      <c r="P915" s="7"/>
      <c r="Q915" s="7"/>
      <c r="R915" s="7"/>
      <c r="S915" s="7"/>
      <c r="T915" s="7"/>
      <c r="U915" s="7"/>
      <c r="V915" s="7"/>
    </row>
    <row r="916" spans="1:22" ht="12.75" customHeight="1">
      <c r="A916" s="7"/>
      <c r="B916" s="7"/>
      <c r="C916" s="8"/>
      <c r="D916" s="66"/>
      <c r="E916" s="7"/>
      <c r="F916" s="7"/>
      <c r="G916" s="7"/>
      <c r="H916" s="7"/>
      <c r="I916" s="7"/>
      <c r="J916" s="7"/>
      <c r="K916" s="7"/>
      <c r="L916" s="7"/>
      <c r="M916" s="7"/>
      <c r="N916" s="7"/>
      <c r="O916" s="7"/>
      <c r="P916" s="7"/>
      <c r="Q916" s="7"/>
      <c r="R916" s="7"/>
      <c r="S916" s="7"/>
      <c r="T916" s="7"/>
      <c r="U916" s="7"/>
      <c r="V916" s="7"/>
    </row>
    <row r="917" spans="1:22" ht="12.75" customHeight="1">
      <c r="A917" s="7"/>
      <c r="B917" s="7"/>
      <c r="C917" s="8"/>
      <c r="D917" s="66"/>
      <c r="E917" s="7"/>
      <c r="F917" s="7"/>
      <c r="G917" s="7"/>
      <c r="H917" s="7"/>
      <c r="I917" s="7"/>
      <c r="J917" s="7"/>
      <c r="K917" s="7"/>
      <c r="L917" s="7"/>
      <c r="M917" s="7"/>
      <c r="N917" s="7"/>
      <c r="O917" s="7"/>
      <c r="P917" s="7"/>
      <c r="Q917" s="7"/>
      <c r="R917" s="7"/>
      <c r="S917" s="7"/>
      <c r="T917" s="7"/>
      <c r="U917" s="7"/>
      <c r="V917" s="7"/>
    </row>
    <row r="918" spans="1:22" ht="12.75" customHeight="1">
      <c r="A918" s="7"/>
      <c r="B918" s="7"/>
      <c r="C918" s="8"/>
      <c r="D918" s="66"/>
      <c r="E918" s="7"/>
      <c r="F918" s="7"/>
      <c r="G918" s="7"/>
      <c r="H918" s="7"/>
      <c r="I918" s="7"/>
      <c r="J918" s="7"/>
      <c r="K918" s="7"/>
      <c r="L918" s="7"/>
      <c r="M918" s="7"/>
      <c r="N918" s="7"/>
      <c r="O918" s="7"/>
      <c r="P918" s="7"/>
      <c r="Q918" s="7"/>
      <c r="R918" s="7"/>
      <c r="S918" s="7"/>
      <c r="T918" s="7"/>
      <c r="U918" s="7"/>
      <c r="V918" s="7"/>
    </row>
    <row r="919" spans="1:22" ht="12.75" customHeight="1">
      <c r="A919" s="7"/>
      <c r="B919" s="7"/>
      <c r="C919" s="8"/>
      <c r="D919" s="66"/>
      <c r="E919" s="7"/>
      <c r="F919" s="7"/>
      <c r="G919" s="7"/>
      <c r="H919" s="7"/>
      <c r="I919" s="7"/>
      <c r="J919" s="7"/>
      <c r="K919" s="7"/>
      <c r="L919" s="7"/>
      <c r="M919" s="7"/>
      <c r="N919" s="7"/>
      <c r="O919" s="7"/>
      <c r="P919" s="7"/>
      <c r="Q919" s="7"/>
      <c r="R919" s="7"/>
      <c r="S919" s="7"/>
      <c r="T919" s="7"/>
      <c r="U919" s="7"/>
      <c r="V919" s="7"/>
    </row>
    <row r="920" spans="1:22" ht="12.75" customHeight="1">
      <c r="A920" s="7"/>
      <c r="B920" s="7"/>
      <c r="C920" s="8"/>
      <c r="D920" s="66"/>
      <c r="E920" s="7"/>
      <c r="F920" s="7"/>
      <c r="G920" s="7"/>
      <c r="H920" s="7"/>
      <c r="I920" s="7"/>
      <c r="J920" s="7"/>
      <c r="K920" s="7"/>
      <c r="L920" s="7"/>
      <c r="M920" s="7"/>
      <c r="N920" s="7"/>
      <c r="O920" s="7"/>
      <c r="P920" s="7"/>
      <c r="Q920" s="7"/>
      <c r="R920" s="7"/>
      <c r="S920" s="7"/>
      <c r="T920" s="7"/>
      <c r="U920" s="7"/>
      <c r="V920" s="7"/>
    </row>
    <row r="921" spans="1:22" ht="12.75" customHeight="1">
      <c r="A921" s="7"/>
      <c r="B921" s="7"/>
      <c r="C921" s="8"/>
      <c r="D921" s="66"/>
      <c r="E921" s="7"/>
      <c r="F921" s="7"/>
      <c r="G921" s="7"/>
      <c r="H921" s="7"/>
      <c r="I921" s="7"/>
      <c r="J921" s="7"/>
      <c r="K921" s="7"/>
      <c r="L921" s="7"/>
      <c r="M921" s="7"/>
      <c r="N921" s="7"/>
      <c r="O921" s="7"/>
      <c r="P921" s="7"/>
      <c r="Q921" s="7"/>
      <c r="R921" s="7"/>
      <c r="S921" s="7"/>
      <c r="T921" s="7"/>
      <c r="U921" s="7"/>
      <c r="V921" s="7"/>
    </row>
    <row r="922" spans="1:22" ht="12.75" customHeight="1">
      <c r="A922" s="7"/>
      <c r="B922" s="7"/>
      <c r="C922" s="8"/>
      <c r="D922" s="66"/>
      <c r="E922" s="7"/>
      <c r="F922" s="7"/>
      <c r="G922" s="7"/>
      <c r="H922" s="7"/>
      <c r="I922" s="7"/>
      <c r="J922" s="7"/>
      <c r="K922" s="7"/>
      <c r="L922" s="7"/>
      <c r="M922" s="7"/>
      <c r="N922" s="7"/>
      <c r="O922" s="7"/>
      <c r="P922" s="7"/>
      <c r="Q922" s="7"/>
      <c r="R922" s="7"/>
      <c r="S922" s="7"/>
      <c r="T922" s="7"/>
      <c r="U922" s="7"/>
      <c r="V922" s="7"/>
    </row>
    <row r="923" spans="1:22" ht="12.75" customHeight="1">
      <c r="A923" s="7"/>
      <c r="B923" s="7"/>
      <c r="C923" s="8"/>
      <c r="D923" s="66"/>
      <c r="E923" s="7"/>
      <c r="F923" s="7"/>
      <c r="G923" s="7"/>
      <c r="H923" s="7"/>
      <c r="I923" s="7"/>
      <c r="J923" s="7"/>
      <c r="K923" s="7"/>
      <c r="L923" s="7"/>
      <c r="M923" s="7"/>
      <c r="N923" s="7"/>
      <c r="O923" s="7"/>
      <c r="P923" s="7"/>
      <c r="Q923" s="7"/>
      <c r="R923" s="7"/>
      <c r="S923" s="7"/>
      <c r="T923" s="7"/>
      <c r="U923" s="7"/>
      <c r="V923" s="7"/>
    </row>
    <row r="924" spans="1:22" ht="12.75" customHeight="1">
      <c r="A924" s="7"/>
      <c r="B924" s="7"/>
      <c r="C924" s="8"/>
      <c r="D924" s="66"/>
      <c r="E924" s="7"/>
      <c r="F924" s="7"/>
      <c r="G924" s="7"/>
      <c r="H924" s="7"/>
      <c r="I924" s="7"/>
      <c r="J924" s="7"/>
      <c r="K924" s="7"/>
      <c r="L924" s="7"/>
      <c r="M924" s="7"/>
      <c r="N924" s="7"/>
      <c r="O924" s="7"/>
      <c r="P924" s="7"/>
      <c r="Q924" s="7"/>
      <c r="R924" s="7"/>
      <c r="S924" s="7"/>
      <c r="T924" s="7"/>
      <c r="U924" s="7"/>
      <c r="V924" s="7"/>
    </row>
    <row r="925" spans="1:22" ht="12.75" customHeight="1">
      <c r="A925" s="7"/>
      <c r="B925" s="7"/>
      <c r="C925" s="8"/>
      <c r="D925" s="66"/>
      <c r="E925" s="7"/>
      <c r="F925" s="7"/>
      <c r="G925" s="7"/>
      <c r="H925" s="7"/>
      <c r="I925" s="7"/>
      <c r="J925" s="7"/>
      <c r="K925" s="7"/>
      <c r="L925" s="7"/>
      <c r="M925" s="7"/>
      <c r="N925" s="7"/>
      <c r="O925" s="7"/>
      <c r="P925" s="7"/>
      <c r="Q925" s="7"/>
      <c r="R925" s="7"/>
      <c r="S925" s="7"/>
      <c r="T925" s="7"/>
      <c r="U925" s="7"/>
      <c r="V925" s="7"/>
    </row>
    <row r="926" spans="1:22" ht="12.75" customHeight="1">
      <c r="A926" s="7"/>
      <c r="B926" s="7"/>
      <c r="C926" s="8"/>
      <c r="D926" s="66"/>
      <c r="E926" s="7"/>
      <c r="F926" s="7"/>
      <c r="G926" s="7"/>
      <c r="H926" s="7"/>
      <c r="I926" s="7"/>
      <c r="J926" s="7"/>
      <c r="K926" s="7"/>
      <c r="L926" s="7"/>
      <c r="M926" s="7"/>
      <c r="N926" s="7"/>
      <c r="O926" s="7"/>
      <c r="P926" s="7"/>
      <c r="Q926" s="7"/>
      <c r="R926" s="7"/>
      <c r="S926" s="7"/>
      <c r="T926" s="7"/>
      <c r="U926" s="7"/>
      <c r="V926" s="7"/>
    </row>
    <row r="927" spans="1:22" ht="12.75" customHeight="1">
      <c r="A927" s="7"/>
      <c r="B927" s="7"/>
      <c r="C927" s="8"/>
      <c r="D927" s="66"/>
      <c r="E927" s="7"/>
      <c r="F927" s="7"/>
      <c r="G927" s="7"/>
      <c r="H927" s="7"/>
      <c r="I927" s="7"/>
      <c r="J927" s="7"/>
      <c r="K927" s="7"/>
      <c r="L927" s="7"/>
      <c r="M927" s="7"/>
      <c r="N927" s="7"/>
      <c r="O927" s="7"/>
      <c r="P927" s="7"/>
      <c r="Q927" s="7"/>
      <c r="R927" s="7"/>
      <c r="S927" s="7"/>
      <c r="T927" s="7"/>
      <c r="U927" s="7"/>
      <c r="V927" s="7"/>
    </row>
    <row r="928" spans="1:22" ht="12.75" customHeight="1">
      <c r="A928" s="7"/>
      <c r="B928" s="7"/>
      <c r="C928" s="8"/>
      <c r="D928" s="66"/>
      <c r="E928" s="7"/>
      <c r="F928" s="7"/>
      <c r="G928" s="7"/>
      <c r="H928" s="7"/>
      <c r="I928" s="7"/>
      <c r="J928" s="7"/>
      <c r="K928" s="7"/>
      <c r="L928" s="7"/>
      <c r="M928" s="7"/>
      <c r="N928" s="7"/>
      <c r="O928" s="7"/>
      <c r="P928" s="7"/>
      <c r="Q928" s="7"/>
      <c r="R928" s="7"/>
      <c r="S928" s="7"/>
      <c r="T928" s="7"/>
      <c r="U928" s="7"/>
      <c r="V928" s="7"/>
    </row>
    <row r="929" spans="1:22" ht="12.75" customHeight="1">
      <c r="A929" s="7"/>
      <c r="B929" s="7"/>
      <c r="C929" s="8"/>
      <c r="D929" s="66"/>
      <c r="E929" s="7"/>
      <c r="F929" s="7"/>
      <c r="G929" s="7"/>
      <c r="H929" s="7"/>
      <c r="I929" s="7"/>
      <c r="J929" s="7"/>
      <c r="K929" s="7"/>
      <c r="L929" s="7"/>
      <c r="M929" s="7"/>
      <c r="N929" s="7"/>
      <c r="O929" s="7"/>
      <c r="P929" s="7"/>
      <c r="Q929" s="7"/>
      <c r="R929" s="7"/>
      <c r="S929" s="7"/>
      <c r="T929" s="7"/>
      <c r="U929" s="7"/>
      <c r="V929" s="7"/>
    </row>
    <row r="930" spans="1:22" ht="12.75" customHeight="1">
      <c r="A930" s="7"/>
      <c r="B930" s="7"/>
      <c r="C930" s="8"/>
      <c r="D930" s="66"/>
      <c r="E930" s="7"/>
      <c r="F930" s="7"/>
      <c r="G930" s="7"/>
      <c r="H930" s="7"/>
      <c r="I930" s="7"/>
      <c r="J930" s="7"/>
      <c r="K930" s="7"/>
      <c r="L930" s="7"/>
      <c r="M930" s="7"/>
      <c r="N930" s="7"/>
      <c r="O930" s="7"/>
      <c r="P930" s="7"/>
      <c r="Q930" s="7"/>
      <c r="R930" s="7"/>
      <c r="S930" s="7"/>
      <c r="T930" s="7"/>
      <c r="U930" s="7"/>
      <c r="V930" s="7"/>
    </row>
    <row r="931" spans="1:22" ht="12.75" customHeight="1">
      <c r="A931" s="7"/>
      <c r="B931" s="7"/>
      <c r="C931" s="8"/>
      <c r="D931" s="66"/>
      <c r="E931" s="7"/>
      <c r="F931" s="7"/>
      <c r="G931" s="7"/>
      <c r="H931" s="7"/>
      <c r="I931" s="7"/>
      <c r="J931" s="7"/>
      <c r="K931" s="7"/>
      <c r="L931" s="7"/>
      <c r="M931" s="7"/>
      <c r="N931" s="7"/>
      <c r="O931" s="7"/>
      <c r="P931" s="7"/>
      <c r="Q931" s="7"/>
      <c r="R931" s="7"/>
      <c r="S931" s="7"/>
      <c r="T931" s="7"/>
      <c r="U931" s="7"/>
      <c r="V931" s="7"/>
    </row>
    <row r="932" spans="1:22" ht="12.75" customHeight="1">
      <c r="A932" s="7"/>
      <c r="B932" s="7"/>
      <c r="C932" s="8"/>
      <c r="D932" s="66"/>
      <c r="E932" s="7"/>
      <c r="F932" s="7"/>
      <c r="G932" s="7"/>
      <c r="H932" s="7"/>
      <c r="I932" s="7"/>
      <c r="J932" s="7"/>
      <c r="K932" s="7"/>
      <c r="L932" s="7"/>
      <c r="M932" s="7"/>
      <c r="N932" s="7"/>
      <c r="O932" s="7"/>
      <c r="P932" s="7"/>
      <c r="Q932" s="7"/>
      <c r="R932" s="7"/>
      <c r="S932" s="7"/>
      <c r="T932" s="7"/>
      <c r="U932" s="7"/>
      <c r="V932" s="7"/>
    </row>
    <row r="933" spans="1:22" ht="12.75" customHeight="1">
      <c r="A933" s="7"/>
      <c r="B933" s="7"/>
      <c r="C933" s="8"/>
      <c r="D933" s="66"/>
      <c r="E933" s="7"/>
      <c r="F933" s="7"/>
      <c r="G933" s="7"/>
      <c r="H933" s="7"/>
      <c r="I933" s="7"/>
      <c r="J933" s="7"/>
      <c r="K933" s="7"/>
      <c r="L933" s="7"/>
      <c r="M933" s="7"/>
      <c r="N933" s="7"/>
      <c r="O933" s="7"/>
      <c r="P933" s="7"/>
      <c r="Q933" s="7"/>
      <c r="R933" s="7"/>
      <c r="S933" s="7"/>
      <c r="T933" s="7"/>
      <c r="U933" s="7"/>
      <c r="V933" s="7"/>
    </row>
    <row r="934" spans="1:22" ht="12.75" customHeight="1">
      <c r="A934" s="7"/>
      <c r="B934" s="7"/>
      <c r="C934" s="8"/>
      <c r="D934" s="66"/>
      <c r="E934" s="7"/>
      <c r="F934" s="7"/>
      <c r="G934" s="7"/>
      <c r="H934" s="7"/>
      <c r="I934" s="7"/>
      <c r="J934" s="7"/>
      <c r="K934" s="7"/>
      <c r="L934" s="7"/>
      <c r="M934" s="7"/>
      <c r="N934" s="7"/>
      <c r="O934" s="7"/>
      <c r="P934" s="7"/>
      <c r="Q934" s="7"/>
      <c r="R934" s="7"/>
      <c r="S934" s="7"/>
      <c r="T934" s="7"/>
      <c r="U934" s="7"/>
      <c r="V934" s="7"/>
    </row>
    <row r="935" spans="1:22" ht="12.75" customHeight="1">
      <c r="A935" s="7"/>
      <c r="B935" s="7"/>
      <c r="C935" s="8"/>
      <c r="D935" s="66"/>
      <c r="E935" s="7"/>
      <c r="F935" s="7"/>
      <c r="G935" s="7"/>
      <c r="H935" s="7"/>
      <c r="I935" s="7"/>
      <c r="J935" s="7"/>
      <c r="K935" s="7"/>
      <c r="L935" s="7"/>
      <c r="M935" s="7"/>
      <c r="N935" s="7"/>
      <c r="O935" s="7"/>
      <c r="P935" s="7"/>
      <c r="Q935" s="7"/>
      <c r="R935" s="7"/>
      <c r="S935" s="7"/>
      <c r="T935" s="7"/>
      <c r="U935" s="7"/>
      <c r="V935" s="7"/>
    </row>
    <row r="936" spans="1:22" ht="12.75" customHeight="1">
      <c r="A936" s="7"/>
      <c r="B936" s="7"/>
      <c r="C936" s="8"/>
      <c r="D936" s="66"/>
      <c r="E936" s="7"/>
      <c r="F936" s="7"/>
      <c r="G936" s="7"/>
      <c r="H936" s="7"/>
      <c r="I936" s="7"/>
      <c r="J936" s="7"/>
      <c r="K936" s="7"/>
      <c r="L936" s="7"/>
      <c r="M936" s="7"/>
      <c r="N936" s="7"/>
      <c r="O936" s="7"/>
      <c r="P936" s="7"/>
      <c r="Q936" s="7"/>
      <c r="R936" s="7"/>
      <c r="S936" s="7"/>
      <c r="T936" s="7"/>
      <c r="U936" s="7"/>
      <c r="V936" s="7"/>
    </row>
    <row r="937" spans="1:22" ht="12.75" customHeight="1">
      <c r="A937" s="7"/>
      <c r="B937" s="7"/>
      <c r="C937" s="8"/>
      <c r="D937" s="66"/>
      <c r="E937" s="7"/>
      <c r="F937" s="7"/>
      <c r="G937" s="7"/>
      <c r="H937" s="7"/>
      <c r="I937" s="7"/>
      <c r="J937" s="7"/>
      <c r="K937" s="7"/>
      <c r="L937" s="7"/>
      <c r="M937" s="7"/>
      <c r="N937" s="7"/>
      <c r="O937" s="7"/>
      <c r="P937" s="7"/>
      <c r="Q937" s="7"/>
      <c r="R937" s="7"/>
      <c r="S937" s="7"/>
      <c r="T937" s="7"/>
      <c r="U937" s="7"/>
      <c r="V937" s="7"/>
    </row>
    <row r="938" spans="1:22" ht="12.75" customHeight="1">
      <c r="A938" s="7"/>
      <c r="B938" s="7"/>
      <c r="C938" s="8"/>
      <c r="D938" s="66"/>
      <c r="E938" s="7"/>
      <c r="F938" s="7"/>
      <c r="G938" s="7"/>
      <c r="H938" s="7"/>
      <c r="I938" s="7"/>
      <c r="J938" s="7"/>
      <c r="K938" s="7"/>
      <c r="L938" s="7"/>
      <c r="M938" s="7"/>
      <c r="N938" s="7"/>
      <c r="O938" s="7"/>
      <c r="P938" s="7"/>
      <c r="Q938" s="7"/>
      <c r="R938" s="7"/>
      <c r="S938" s="7"/>
      <c r="T938" s="7"/>
      <c r="U938" s="7"/>
      <c r="V938" s="7"/>
    </row>
    <row r="939" spans="1:22" ht="12.75" customHeight="1">
      <c r="A939" s="7"/>
      <c r="B939" s="7"/>
      <c r="C939" s="8"/>
      <c r="D939" s="66"/>
      <c r="E939" s="7"/>
      <c r="F939" s="7"/>
      <c r="G939" s="7"/>
      <c r="H939" s="7"/>
      <c r="I939" s="7"/>
      <c r="J939" s="7"/>
      <c r="K939" s="7"/>
      <c r="L939" s="7"/>
      <c r="M939" s="7"/>
      <c r="N939" s="7"/>
      <c r="O939" s="7"/>
      <c r="P939" s="7"/>
      <c r="Q939" s="7"/>
      <c r="R939" s="7"/>
      <c r="S939" s="7"/>
      <c r="T939" s="7"/>
      <c r="U939" s="7"/>
      <c r="V939" s="7"/>
    </row>
    <row r="940" spans="1:22" ht="12.75" customHeight="1">
      <c r="A940" s="7"/>
      <c r="B940" s="7"/>
      <c r="C940" s="8"/>
      <c r="D940" s="66"/>
      <c r="E940" s="7"/>
      <c r="F940" s="7"/>
      <c r="G940" s="7"/>
      <c r="H940" s="7"/>
      <c r="I940" s="7"/>
      <c r="J940" s="7"/>
      <c r="K940" s="7"/>
      <c r="L940" s="7"/>
      <c r="M940" s="7"/>
      <c r="N940" s="7"/>
      <c r="O940" s="7"/>
      <c r="P940" s="7"/>
      <c r="Q940" s="7"/>
      <c r="R940" s="7"/>
      <c r="S940" s="7"/>
      <c r="T940" s="7"/>
      <c r="U940" s="7"/>
      <c r="V940" s="7"/>
    </row>
    <row r="941" spans="1:22" ht="12.75" customHeight="1">
      <c r="A941" s="7"/>
      <c r="B941" s="7"/>
      <c r="C941" s="8"/>
      <c r="D941" s="66"/>
      <c r="E941" s="7"/>
      <c r="F941" s="7"/>
      <c r="G941" s="7"/>
      <c r="H941" s="7"/>
      <c r="I941" s="7"/>
      <c r="J941" s="7"/>
      <c r="K941" s="7"/>
      <c r="L941" s="7"/>
      <c r="M941" s="7"/>
      <c r="N941" s="7"/>
      <c r="O941" s="7"/>
      <c r="P941" s="7"/>
      <c r="Q941" s="7"/>
      <c r="R941" s="7"/>
      <c r="S941" s="7"/>
      <c r="T941" s="7"/>
      <c r="U941" s="7"/>
      <c r="V941" s="7"/>
    </row>
    <row r="942" spans="1:22" ht="12.75" customHeight="1">
      <c r="A942" s="7"/>
      <c r="B942" s="7"/>
      <c r="C942" s="8"/>
      <c r="D942" s="66"/>
      <c r="E942" s="7"/>
      <c r="F942" s="7"/>
      <c r="G942" s="7"/>
      <c r="H942" s="7"/>
      <c r="I942" s="7"/>
      <c r="J942" s="7"/>
      <c r="K942" s="7"/>
      <c r="L942" s="7"/>
      <c r="M942" s="7"/>
      <c r="N942" s="7"/>
      <c r="O942" s="7"/>
      <c r="P942" s="7"/>
      <c r="Q942" s="7"/>
      <c r="R942" s="7"/>
      <c r="S942" s="7"/>
      <c r="T942" s="7"/>
      <c r="U942" s="7"/>
      <c r="V942" s="7"/>
    </row>
    <row r="943" spans="1:22" ht="12.75" customHeight="1">
      <c r="A943" s="7"/>
      <c r="B943" s="7"/>
      <c r="C943" s="8"/>
      <c r="D943" s="66"/>
      <c r="E943" s="7"/>
      <c r="F943" s="7"/>
      <c r="G943" s="7"/>
      <c r="H943" s="7"/>
      <c r="I943" s="7"/>
      <c r="J943" s="7"/>
      <c r="K943" s="7"/>
      <c r="L943" s="7"/>
      <c r="M943" s="7"/>
      <c r="N943" s="7"/>
      <c r="O943" s="7"/>
      <c r="P943" s="7"/>
      <c r="Q943" s="7"/>
      <c r="R943" s="7"/>
      <c r="S943" s="7"/>
      <c r="T943" s="7"/>
      <c r="U943" s="7"/>
      <c r="V943" s="7"/>
    </row>
    <row r="944" spans="1:22" ht="12.75" customHeight="1">
      <c r="A944" s="7"/>
      <c r="B944" s="7"/>
      <c r="C944" s="8"/>
      <c r="D944" s="66"/>
      <c r="E944" s="7"/>
      <c r="F944" s="7"/>
      <c r="G944" s="7"/>
      <c r="H944" s="7"/>
      <c r="I944" s="7"/>
      <c r="J944" s="7"/>
      <c r="K944" s="7"/>
      <c r="L944" s="7"/>
      <c r="M944" s="7"/>
      <c r="N944" s="7"/>
      <c r="O944" s="7"/>
      <c r="P944" s="7"/>
      <c r="Q944" s="7"/>
      <c r="R944" s="7"/>
      <c r="S944" s="7"/>
      <c r="T944" s="7"/>
      <c r="U944" s="7"/>
      <c r="V944" s="7"/>
    </row>
    <row r="945" spans="1:22" ht="12.75" customHeight="1">
      <c r="A945" s="7"/>
      <c r="B945" s="7"/>
      <c r="C945" s="8"/>
      <c r="D945" s="66"/>
      <c r="E945" s="7"/>
      <c r="F945" s="7"/>
      <c r="G945" s="7"/>
      <c r="H945" s="7"/>
      <c r="I945" s="7"/>
      <c r="J945" s="7"/>
      <c r="K945" s="7"/>
      <c r="L945" s="7"/>
      <c r="M945" s="7"/>
      <c r="N945" s="7"/>
      <c r="O945" s="7"/>
      <c r="P945" s="7"/>
      <c r="Q945" s="7"/>
      <c r="R945" s="7"/>
      <c r="S945" s="7"/>
      <c r="T945" s="7"/>
      <c r="U945" s="7"/>
      <c r="V945" s="7"/>
    </row>
    <row r="946" spans="1:22" ht="12.75" customHeight="1">
      <c r="A946" s="7"/>
      <c r="B946" s="7"/>
      <c r="C946" s="8"/>
      <c r="D946" s="66"/>
      <c r="E946" s="7"/>
      <c r="F946" s="7"/>
      <c r="G946" s="7"/>
      <c r="H946" s="7"/>
      <c r="I946" s="7"/>
      <c r="J946" s="7"/>
      <c r="K946" s="7"/>
      <c r="L946" s="7"/>
      <c r="M946" s="7"/>
      <c r="N946" s="7"/>
      <c r="O946" s="7"/>
      <c r="P946" s="7"/>
      <c r="Q946" s="7"/>
      <c r="R946" s="7"/>
      <c r="S946" s="7"/>
      <c r="T946" s="7"/>
      <c r="U946" s="7"/>
      <c r="V946" s="7"/>
    </row>
    <row r="947" spans="1:22" ht="12.75" customHeight="1">
      <c r="A947" s="7"/>
      <c r="B947" s="7"/>
      <c r="C947" s="8"/>
      <c r="D947" s="66"/>
      <c r="E947" s="7"/>
      <c r="F947" s="7"/>
      <c r="G947" s="7"/>
      <c r="H947" s="7"/>
      <c r="I947" s="7"/>
      <c r="J947" s="7"/>
      <c r="K947" s="7"/>
      <c r="L947" s="7"/>
      <c r="M947" s="7"/>
      <c r="N947" s="7"/>
      <c r="O947" s="7"/>
      <c r="P947" s="7"/>
      <c r="Q947" s="7"/>
      <c r="R947" s="7"/>
      <c r="S947" s="7"/>
      <c r="T947" s="7"/>
      <c r="U947" s="7"/>
      <c r="V947" s="7"/>
    </row>
    <row r="948" spans="1:22" ht="12.75" customHeight="1">
      <c r="A948" s="7"/>
      <c r="B948" s="7"/>
      <c r="C948" s="8"/>
      <c r="D948" s="66"/>
      <c r="E948" s="7"/>
      <c r="F948" s="7"/>
      <c r="G948" s="7"/>
      <c r="H948" s="7"/>
      <c r="I948" s="7"/>
      <c r="J948" s="7"/>
      <c r="K948" s="7"/>
      <c r="L948" s="7"/>
      <c r="M948" s="7"/>
      <c r="N948" s="7"/>
      <c r="O948" s="7"/>
      <c r="P948" s="7"/>
      <c r="Q948" s="7"/>
      <c r="R948" s="7"/>
      <c r="S948" s="7"/>
      <c r="T948" s="7"/>
      <c r="U948" s="7"/>
      <c r="V948" s="7"/>
    </row>
    <row r="949" spans="1:22" ht="12.75" customHeight="1">
      <c r="A949" s="7"/>
      <c r="B949" s="7"/>
      <c r="C949" s="8"/>
      <c r="D949" s="66"/>
      <c r="E949" s="7"/>
      <c r="F949" s="7"/>
      <c r="G949" s="7"/>
      <c r="H949" s="7"/>
      <c r="I949" s="7"/>
      <c r="J949" s="7"/>
      <c r="K949" s="7"/>
      <c r="L949" s="7"/>
      <c r="M949" s="7"/>
      <c r="N949" s="7"/>
      <c r="O949" s="7"/>
      <c r="P949" s="7"/>
      <c r="Q949" s="7"/>
      <c r="R949" s="7"/>
      <c r="S949" s="7"/>
      <c r="T949" s="7"/>
      <c r="U949" s="7"/>
      <c r="V949" s="7"/>
    </row>
    <row r="950" spans="1:22" ht="12.75" customHeight="1">
      <c r="A950" s="7"/>
      <c r="B950" s="7"/>
      <c r="C950" s="8"/>
      <c r="D950" s="66"/>
      <c r="E950" s="7"/>
      <c r="F950" s="7"/>
      <c r="G950" s="7"/>
      <c r="H950" s="7"/>
      <c r="I950" s="7"/>
      <c r="J950" s="7"/>
      <c r="K950" s="7"/>
      <c r="L950" s="7"/>
      <c r="M950" s="7"/>
      <c r="N950" s="7"/>
      <c r="O950" s="7"/>
      <c r="P950" s="7"/>
      <c r="Q950" s="7"/>
      <c r="R950" s="7"/>
      <c r="S950" s="7"/>
      <c r="T950" s="7"/>
      <c r="U950" s="7"/>
      <c r="V950" s="7"/>
    </row>
    <row r="951" spans="1:22" ht="12.75" customHeight="1">
      <c r="A951" s="7"/>
      <c r="B951" s="7"/>
      <c r="C951" s="8"/>
      <c r="D951" s="66"/>
      <c r="E951" s="7"/>
      <c r="F951" s="7"/>
      <c r="G951" s="7"/>
      <c r="H951" s="7"/>
      <c r="I951" s="7"/>
      <c r="J951" s="7"/>
      <c r="K951" s="7"/>
      <c r="L951" s="7"/>
      <c r="M951" s="7"/>
      <c r="N951" s="7"/>
      <c r="O951" s="7"/>
      <c r="P951" s="7"/>
      <c r="Q951" s="7"/>
      <c r="R951" s="7"/>
      <c r="S951" s="7"/>
      <c r="T951" s="7"/>
      <c r="U951" s="7"/>
      <c r="V951" s="7"/>
    </row>
    <row r="952" spans="1:22" ht="12.75" customHeight="1">
      <c r="A952" s="7"/>
      <c r="B952" s="7"/>
      <c r="C952" s="8"/>
      <c r="D952" s="66"/>
      <c r="E952" s="7"/>
      <c r="F952" s="7"/>
      <c r="G952" s="7"/>
      <c r="H952" s="7"/>
      <c r="I952" s="7"/>
      <c r="J952" s="7"/>
      <c r="K952" s="7"/>
      <c r="L952" s="7"/>
      <c r="M952" s="7"/>
      <c r="N952" s="7"/>
      <c r="O952" s="7"/>
      <c r="P952" s="7"/>
      <c r="Q952" s="7"/>
      <c r="R952" s="7"/>
      <c r="S952" s="7"/>
      <c r="T952" s="7"/>
      <c r="U952" s="7"/>
      <c r="V952" s="7"/>
    </row>
    <row r="953" spans="1:22" ht="12.75" customHeight="1">
      <c r="A953" s="7"/>
      <c r="B953" s="7"/>
      <c r="C953" s="8"/>
      <c r="D953" s="66"/>
      <c r="E953" s="7"/>
      <c r="F953" s="7"/>
      <c r="G953" s="7"/>
      <c r="H953" s="7"/>
      <c r="I953" s="7"/>
      <c r="J953" s="7"/>
      <c r="K953" s="7"/>
      <c r="L953" s="7"/>
      <c r="M953" s="7"/>
      <c r="N953" s="7"/>
      <c r="O953" s="7"/>
      <c r="P953" s="7"/>
      <c r="Q953" s="7"/>
      <c r="R953" s="7"/>
      <c r="S953" s="7"/>
      <c r="T953" s="7"/>
      <c r="U953" s="7"/>
      <c r="V953" s="7"/>
    </row>
    <row r="954" spans="1:22" ht="12.75" customHeight="1">
      <c r="A954" s="7"/>
      <c r="B954" s="7"/>
      <c r="C954" s="8"/>
      <c r="D954" s="66"/>
      <c r="E954" s="7"/>
      <c r="F954" s="7"/>
      <c r="G954" s="7"/>
      <c r="H954" s="7"/>
      <c r="I954" s="7"/>
      <c r="J954" s="7"/>
      <c r="K954" s="7"/>
      <c r="L954" s="7"/>
      <c r="M954" s="7"/>
      <c r="N954" s="7"/>
      <c r="O954" s="7"/>
      <c r="P954" s="7"/>
      <c r="Q954" s="7"/>
      <c r="R954" s="7"/>
      <c r="S954" s="7"/>
      <c r="T954" s="7"/>
      <c r="U954" s="7"/>
      <c r="V954" s="7"/>
    </row>
    <row r="955" spans="1:22" ht="12.75" customHeight="1">
      <c r="A955" s="7"/>
      <c r="B955" s="7"/>
      <c r="C955" s="8"/>
      <c r="D955" s="66"/>
      <c r="E955" s="7"/>
      <c r="F955" s="7"/>
      <c r="I955" s="7"/>
      <c r="J955" s="7"/>
      <c r="K955" s="7"/>
      <c r="L955" s="7"/>
      <c r="M955" s="7"/>
      <c r="N955" s="7"/>
      <c r="O955" s="7"/>
      <c r="P955" s="7"/>
      <c r="Q955" s="7"/>
      <c r="R955" s="7"/>
      <c r="S955" s="7"/>
      <c r="T955" s="7"/>
      <c r="U955" s="7"/>
      <c r="V955" s="7"/>
    </row>
    <row r="956" spans="1:22" ht="12.75" customHeight="1">
      <c r="A956" s="7"/>
      <c r="B956" s="7"/>
      <c r="C956" s="8"/>
      <c r="D956" s="66"/>
      <c r="E956" s="7"/>
      <c r="F956" s="7"/>
      <c r="I956" s="7"/>
      <c r="J956" s="7"/>
      <c r="K956" s="7"/>
      <c r="L956" s="7"/>
      <c r="M956" s="7"/>
      <c r="N956" s="7"/>
      <c r="O956" s="7"/>
      <c r="P956" s="7"/>
      <c r="Q956" s="7"/>
      <c r="R956" s="7"/>
      <c r="S956" s="7"/>
      <c r="T956" s="7"/>
      <c r="U956" s="7"/>
      <c r="V956" s="7"/>
    </row>
    <row r="957" spans="1:22" ht="12.75" customHeight="1">
      <c r="A957" s="7"/>
      <c r="B957" s="7"/>
      <c r="C957" s="8"/>
      <c r="D957" s="66"/>
      <c r="E957" s="7"/>
      <c r="F957" s="7"/>
      <c r="I957" s="7"/>
      <c r="J957" s="7"/>
      <c r="K957" s="7"/>
      <c r="L957" s="7"/>
      <c r="M957" s="7"/>
      <c r="N957" s="7"/>
      <c r="O957" s="7"/>
      <c r="P957" s="7"/>
      <c r="Q957" s="7"/>
      <c r="R957" s="7"/>
      <c r="S957" s="7"/>
      <c r="T957" s="7"/>
      <c r="U957" s="7"/>
      <c r="V957" s="7"/>
    </row>
    <row r="958" spans="1:22" ht="12.75" customHeight="1">
      <c r="A958" s="7"/>
      <c r="B958" s="7"/>
      <c r="C958" s="8"/>
      <c r="D958" s="66"/>
      <c r="E958" s="7"/>
      <c r="F958" s="7"/>
      <c r="I958" s="7"/>
      <c r="J958" s="7"/>
      <c r="K958" s="7"/>
      <c r="L958" s="7"/>
      <c r="M958" s="7"/>
      <c r="N958" s="7"/>
      <c r="O958" s="7"/>
      <c r="P958" s="7"/>
      <c r="Q958" s="7"/>
      <c r="R958" s="7"/>
      <c r="S958" s="7"/>
      <c r="T958" s="7"/>
      <c r="U958" s="7"/>
      <c r="V958" s="7"/>
    </row>
    <row r="959" spans="1:22" ht="12.75" customHeight="1">
      <c r="A959" s="7"/>
      <c r="B959" s="7"/>
      <c r="C959" s="8"/>
      <c r="D959" s="66"/>
      <c r="E959" s="7"/>
      <c r="F959" s="7"/>
      <c r="I959" s="7"/>
      <c r="J959" s="7"/>
      <c r="K959" s="7"/>
      <c r="L959" s="7"/>
      <c r="M959" s="7"/>
      <c r="N959" s="7"/>
      <c r="O959" s="7"/>
      <c r="P959" s="7"/>
      <c r="Q959" s="7"/>
      <c r="R959" s="7"/>
      <c r="S959" s="7"/>
      <c r="T959" s="7"/>
      <c r="U959" s="7"/>
      <c r="V959" s="7"/>
    </row>
    <row r="960" spans="1:22" ht="12.75" customHeight="1">
      <c r="A960" s="7"/>
      <c r="B960" s="7"/>
      <c r="C960" s="8"/>
      <c r="D960" s="66"/>
      <c r="E960" s="7"/>
      <c r="F960" s="7"/>
      <c r="I960" s="7"/>
      <c r="J960" s="7"/>
      <c r="K960" s="7"/>
      <c r="L960" s="7"/>
      <c r="M960" s="7"/>
      <c r="N960" s="7"/>
      <c r="O960" s="7"/>
      <c r="P960" s="7"/>
      <c r="Q960" s="7"/>
      <c r="R960" s="7"/>
      <c r="S960" s="7"/>
      <c r="T960" s="7"/>
      <c r="U960" s="7"/>
      <c r="V960" s="7"/>
    </row>
    <row r="961" spans="1:22" ht="12.75" customHeight="1">
      <c r="A961" s="7"/>
      <c r="B961" s="7"/>
      <c r="C961" s="8"/>
      <c r="D961" s="66"/>
      <c r="E961" s="7"/>
      <c r="F961" s="7"/>
      <c r="I961" s="7"/>
      <c r="J961" s="7"/>
      <c r="K961" s="7"/>
      <c r="L961" s="7"/>
      <c r="M961" s="7"/>
      <c r="N961" s="7"/>
      <c r="O961" s="7"/>
      <c r="P961" s="7"/>
      <c r="Q961" s="7"/>
      <c r="R961" s="7"/>
      <c r="S961" s="7"/>
      <c r="T961" s="7"/>
      <c r="U961" s="7"/>
      <c r="V961" s="7"/>
    </row>
    <row r="962" spans="1:22" ht="12.75" customHeight="1">
      <c r="A962" s="7"/>
      <c r="B962" s="7"/>
      <c r="C962" s="8"/>
      <c r="D962" s="66"/>
      <c r="E962" s="7"/>
      <c r="F962" s="7"/>
      <c r="I962" s="7"/>
      <c r="J962" s="7"/>
      <c r="K962" s="7"/>
      <c r="L962" s="7"/>
      <c r="M962" s="7"/>
      <c r="N962" s="7"/>
      <c r="O962" s="7"/>
      <c r="P962" s="7"/>
      <c r="Q962" s="7"/>
      <c r="R962" s="7"/>
      <c r="S962" s="7"/>
      <c r="T962" s="7"/>
      <c r="U962" s="7"/>
      <c r="V962" s="7"/>
    </row>
    <row r="963" spans="1:22" ht="12.75" customHeight="1">
      <c r="A963" s="7"/>
      <c r="B963" s="7"/>
      <c r="C963" s="8"/>
      <c r="D963" s="66"/>
      <c r="E963" s="7"/>
      <c r="F963" s="7"/>
      <c r="I963" s="7"/>
      <c r="J963" s="7"/>
      <c r="K963" s="7"/>
      <c r="L963" s="7"/>
      <c r="M963" s="7"/>
      <c r="N963" s="7"/>
      <c r="O963" s="7"/>
      <c r="P963" s="7"/>
      <c r="Q963" s="7"/>
      <c r="R963" s="7"/>
      <c r="S963" s="7"/>
      <c r="T963" s="7"/>
      <c r="U963" s="7"/>
      <c r="V963" s="7"/>
    </row>
    <row r="964" spans="1:22" ht="12.75" customHeight="1">
      <c r="A964" s="7"/>
      <c r="B964" s="7"/>
      <c r="C964" s="8"/>
      <c r="D964" s="66"/>
      <c r="E964" s="7"/>
      <c r="F964" s="7"/>
      <c r="I964" s="7"/>
      <c r="J964" s="7"/>
      <c r="K964" s="7"/>
      <c r="L964" s="7"/>
      <c r="M964" s="7"/>
      <c r="N964" s="7"/>
      <c r="O964" s="7"/>
      <c r="P964" s="7"/>
      <c r="Q964" s="7"/>
      <c r="R964" s="7"/>
      <c r="S964" s="7"/>
      <c r="T964" s="7"/>
      <c r="U964" s="7"/>
      <c r="V964" s="7"/>
    </row>
    <row r="965" spans="1:22" ht="12.75" customHeight="1">
      <c r="A965" s="7"/>
      <c r="B965" s="7"/>
      <c r="C965" s="8"/>
      <c r="D965" s="66"/>
      <c r="E965" s="7"/>
      <c r="F965" s="7"/>
      <c r="I965" s="7"/>
      <c r="J965" s="7"/>
      <c r="K965" s="7"/>
      <c r="L965" s="7"/>
      <c r="M965" s="7"/>
      <c r="N965" s="7"/>
      <c r="O965" s="7"/>
      <c r="P965" s="7"/>
      <c r="Q965" s="7"/>
      <c r="R965" s="7"/>
      <c r="S965" s="7"/>
      <c r="T965" s="7"/>
      <c r="U965" s="7"/>
      <c r="V965" s="7"/>
    </row>
    <row r="966" spans="1:22" ht="12.75" customHeight="1">
      <c r="A966" s="7"/>
      <c r="B966" s="7"/>
      <c r="C966" s="8"/>
      <c r="D966" s="66"/>
      <c r="E966" s="7"/>
      <c r="F966" s="7"/>
      <c r="I966" s="7"/>
      <c r="J966" s="7"/>
      <c r="K966" s="7"/>
      <c r="L966" s="7"/>
      <c r="M966" s="7"/>
      <c r="N966" s="7"/>
      <c r="O966" s="7"/>
      <c r="P966" s="7"/>
      <c r="Q966" s="7"/>
      <c r="R966" s="7"/>
      <c r="S966" s="7"/>
      <c r="T966" s="7"/>
      <c r="U966" s="7"/>
      <c r="V966" s="7"/>
    </row>
    <row r="967" spans="1:22" ht="12.75" customHeight="1">
      <c r="A967" s="7"/>
      <c r="B967" s="7"/>
      <c r="C967" s="8"/>
      <c r="D967" s="66"/>
      <c r="E967" s="7"/>
      <c r="F967" s="7"/>
      <c r="I967" s="7"/>
      <c r="J967" s="7"/>
      <c r="K967" s="7"/>
      <c r="L967" s="7"/>
      <c r="M967" s="7"/>
      <c r="N967" s="7"/>
      <c r="O967" s="7"/>
      <c r="P967" s="7"/>
      <c r="Q967" s="7"/>
      <c r="R967" s="7"/>
      <c r="S967" s="7"/>
      <c r="T967" s="7"/>
      <c r="U967" s="7"/>
      <c r="V967" s="7"/>
    </row>
    <row r="968" spans="1:22" ht="12.75" customHeight="1">
      <c r="A968" s="7"/>
      <c r="B968" s="7"/>
      <c r="C968" s="8"/>
      <c r="D968" s="66"/>
      <c r="E968" s="7"/>
      <c r="F968" s="7"/>
      <c r="I968" s="7"/>
      <c r="J968" s="7"/>
      <c r="K968" s="7"/>
      <c r="L968" s="7"/>
      <c r="M968" s="7"/>
      <c r="N968" s="7"/>
      <c r="O968" s="7"/>
      <c r="P968" s="7"/>
      <c r="Q968" s="7"/>
      <c r="R968" s="7"/>
      <c r="S968" s="7"/>
      <c r="T968" s="7"/>
      <c r="U968" s="7"/>
      <c r="V968" s="7"/>
    </row>
    <row r="969" spans="1:22" ht="12.75" customHeight="1">
      <c r="A969" s="7"/>
      <c r="B969" s="7"/>
      <c r="C969" s="8"/>
      <c r="D969" s="66"/>
      <c r="E969" s="7"/>
      <c r="F969" s="7"/>
      <c r="I969" s="7"/>
      <c r="J969" s="7"/>
      <c r="K969" s="7"/>
      <c r="L969" s="7"/>
      <c r="M969" s="7"/>
      <c r="N969" s="7"/>
      <c r="O969" s="7"/>
      <c r="P969" s="7"/>
      <c r="Q969" s="7"/>
      <c r="R969" s="7"/>
      <c r="S969" s="7"/>
      <c r="T969" s="7"/>
      <c r="U969" s="7"/>
      <c r="V969" s="7"/>
    </row>
    <row r="970" spans="1:22" ht="12.75" customHeight="1">
      <c r="A970" s="7"/>
      <c r="B970" s="7"/>
      <c r="C970" s="8"/>
      <c r="D970" s="66"/>
      <c r="E970" s="7"/>
      <c r="F970" s="7"/>
      <c r="I970" s="7"/>
      <c r="J970" s="7"/>
      <c r="K970" s="7"/>
      <c r="L970" s="7"/>
      <c r="M970" s="7"/>
      <c r="N970" s="7"/>
      <c r="O970" s="7"/>
      <c r="P970" s="7"/>
      <c r="Q970" s="7"/>
      <c r="R970" s="7"/>
      <c r="S970" s="7"/>
      <c r="T970" s="7"/>
      <c r="U970" s="7"/>
      <c r="V970" s="7"/>
    </row>
    <row r="971" spans="1:22" ht="12.75" customHeight="1">
      <c r="A971" s="7"/>
      <c r="B971" s="7"/>
      <c r="C971" s="8"/>
      <c r="D971" s="66"/>
      <c r="E971" s="7"/>
      <c r="F971" s="7"/>
      <c r="I971" s="7"/>
      <c r="J971" s="7"/>
      <c r="K971" s="7"/>
      <c r="L971" s="7"/>
      <c r="M971" s="7"/>
      <c r="N971" s="7"/>
      <c r="O971" s="7"/>
      <c r="P971" s="7"/>
      <c r="Q971" s="7"/>
      <c r="R971" s="7"/>
      <c r="S971" s="7"/>
      <c r="T971" s="7"/>
      <c r="U971" s="7"/>
      <c r="V971" s="7"/>
    </row>
    <row r="972" spans="1:22" ht="12.75" customHeight="1">
      <c r="A972" s="7"/>
      <c r="B972" s="7"/>
      <c r="C972" s="8"/>
      <c r="D972" s="66"/>
      <c r="E972" s="7"/>
      <c r="F972" s="7"/>
      <c r="I972" s="7"/>
      <c r="J972" s="7"/>
      <c r="K972" s="7"/>
      <c r="L972" s="7"/>
      <c r="M972" s="7"/>
      <c r="N972" s="7"/>
      <c r="O972" s="7"/>
      <c r="P972" s="7"/>
      <c r="Q972" s="7"/>
      <c r="R972" s="7"/>
      <c r="S972" s="7"/>
      <c r="T972" s="7"/>
      <c r="U972" s="7"/>
      <c r="V972" s="7"/>
    </row>
    <row r="973" spans="1:22" ht="12.75" customHeight="1">
      <c r="A973" s="7"/>
      <c r="B973" s="7"/>
      <c r="C973" s="8"/>
      <c r="D973" s="66"/>
      <c r="E973" s="7"/>
      <c r="F973" s="7"/>
      <c r="I973" s="7"/>
      <c r="J973" s="7"/>
      <c r="K973" s="7"/>
      <c r="L973" s="7"/>
      <c r="M973" s="7"/>
      <c r="N973" s="7"/>
      <c r="O973" s="7"/>
      <c r="P973" s="7"/>
      <c r="Q973" s="7"/>
      <c r="R973" s="7"/>
      <c r="S973" s="7"/>
      <c r="T973" s="7"/>
      <c r="U973" s="7"/>
      <c r="V973" s="7"/>
    </row>
    <row r="974" spans="1:22" ht="12.75" customHeight="1">
      <c r="A974" s="7"/>
      <c r="B974" s="7"/>
      <c r="C974" s="8"/>
      <c r="D974" s="66"/>
      <c r="E974" s="7"/>
      <c r="F974" s="7"/>
      <c r="I974" s="7"/>
      <c r="J974" s="7"/>
      <c r="K974" s="7"/>
      <c r="L974" s="7"/>
      <c r="M974" s="7"/>
      <c r="N974" s="7"/>
      <c r="O974" s="7"/>
      <c r="P974" s="7"/>
      <c r="Q974" s="7"/>
      <c r="R974" s="7"/>
      <c r="S974" s="7"/>
      <c r="T974" s="7"/>
      <c r="U974" s="7"/>
      <c r="V974" s="7"/>
    </row>
    <row r="975" spans="1:22" ht="12.75" customHeight="1">
      <c r="A975" s="7"/>
      <c r="B975" s="7"/>
      <c r="C975" s="8"/>
      <c r="D975" s="66"/>
      <c r="E975" s="7"/>
      <c r="F975" s="7"/>
      <c r="I975" s="7"/>
      <c r="J975" s="7"/>
      <c r="K975" s="7"/>
      <c r="L975" s="7"/>
      <c r="M975" s="7"/>
      <c r="N975" s="7"/>
      <c r="O975" s="7"/>
      <c r="P975" s="7"/>
      <c r="Q975" s="7"/>
      <c r="R975" s="7"/>
      <c r="S975" s="7"/>
      <c r="T975" s="7"/>
      <c r="U975" s="7"/>
      <c r="V975" s="7"/>
    </row>
    <row r="976" spans="1:22" ht="12.75" customHeight="1">
      <c r="A976" s="7"/>
      <c r="B976" s="7"/>
      <c r="C976" s="8"/>
      <c r="D976" s="66"/>
      <c r="E976" s="7"/>
      <c r="F976" s="7"/>
      <c r="I976" s="7"/>
      <c r="J976" s="7"/>
      <c r="K976" s="7"/>
      <c r="L976" s="7"/>
      <c r="M976" s="7"/>
      <c r="N976" s="7"/>
      <c r="O976" s="7"/>
      <c r="P976" s="7"/>
      <c r="Q976" s="7"/>
      <c r="R976" s="7"/>
      <c r="S976" s="7"/>
      <c r="T976" s="7"/>
      <c r="U976" s="7"/>
      <c r="V976" s="7"/>
    </row>
    <row r="977" spans="1:22" ht="12.75" customHeight="1">
      <c r="A977" s="7"/>
      <c r="B977" s="7"/>
      <c r="C977" s="8"/>
      <c r="D977" s="66"/>
      <c r="E977" s="7"/>
      <c r="F977" s="7"/>
      <c r="I977" s="7"/>
      <c r="J977" s="7"/>
      <c r="K977" s="7"/>
      <c r="L977" s="7"/>
      <c r="M977" s="7"/>
      <c r="N977" s="7"/>
      <c r="O977" s="7"/>
      <c r="P977" s="7"/>
      <c r="Q977" s="7"/>
      <c r="R977" s="7"/>
      <c r="S977" s="7"/>
      <c r="T977" s="7"/>
      <c r="U977" s="7"/>
      <c r="V977" s="7"/>
    </row>
    <row r="978" spans="1:22" ht="12.75" customHeight="1">
      <c r="A978" s="7"/>
      <c r="B978" s="7"/>
      <c r="C978" s="8"/>
      <c r="D978" s="66"/>
      <c r="E978" s="7"/>
      <c r="F978" s="7"/>
      <c r="I978" s="7"/>
      <c r="J978" s="7"/>
      <c r="K978" s="7"/>
      <c r="L978" s="7"/>
      <c r="M978" s="7"/>
      <c r="N978" s="7"/>
      <c r="O978" s="7"/>
      <c r="P978" s="7"/>
      <c r="Q978" s="7"/>
      <c r="R978" s="7"/>
      <c r="S978" s="7"/>
      <c r="T978" s="7"/>
      <c r="U978" s="7"/>
      <c r="V978" s="7"/>
    </row>
    <row r="979" spans="1:22" ht="12.75" customHeight="1">
      <c r="A979" s="7"/>
      <c r="B979" s="7"/>
      <c r="C979" s="8"/>
      <c r="D979" s="66"/>
      <c r="E979" s="7"/>
      <c r="F979" s="7"/>
      <c r="I979" s="7"/>
      <c r="J979" s="7"/>
      <c r="K979" s="7"/>
      <c r="L979" s="7"/>
      <c r="M979" s="7"/>
      <c r="N979" s="7"/>
      <c r="O979" s="7"/>
      <c r="P979" s="7"/>
      <c r="Q979" s="7"/>
      <c r="R979" s="7"/>
      <c r="S979" s="7"/>
      <c r="T979" s="7"/>
      <c r="U979" s="7"/>
      <c r="V979" s="7"/>
    </row>
    <row r="980" spans="1:22" ht="12.75" customHeight="1">
      <c r="A980" s="7"/>
      <c r="B980" s="7"/>
      <c r="C980" s="8"/>
      <c r="D980" s="66"/>
      <c r="E980" s="7"/>
      <c r="F980" s="7"/>
      <c r="I980" s="7"/>
      <c r="J980" s="7"/>
      <c r="K980" s="7"/>
      <c r="L980" s="7"/>
      <c r="M980" s="7"/>
      <c r="N980" s="7"/>
      <c r="O980" s="7"/>
      <c r="P980" s="7"/>
      <c r="Q980" s="7"/>
      <c r="R980" s="7"/>
      <c r="S980" s="7"/>
      <c r="T980" s="7"/>
      <c r="U980" s="7"/>
      <c r="V980" s="7"/>
    </row>
    <row r="981" spans="1:22" ht="12.75" customHeight="1">
      <c r="A981" s="7"/>
      <c r="B981" s="7"/>
      <c r="C981" s="8"/>
      <c r="D981" s="66"/>
      <c r="E981" s="7"/>
      <c r="F981" s="7"/>
      <c r="I981" s="7"/>
      <c r="J981" s="7"/>
      <c r="K981" s="7"/>
      <c r="L981" s="7"/>
      <c r="M981" s="7"/>
      <c r="N981" s="7"/>
      <c r="O981" s="7"/>
      <c r="P981" s="7"/>
      <c r="Q981" s="7"/>
      <c r="R981" s="7"/>
      <c r="S981" s="7"/>
      <c r="T981" s="7"/>
      <c r="U981" s="7"/>
      <c r="V981" s="7"/>
    </row>
    <row r="982" spans="1:22" ht="12.75" customHeight="1">
      <c r="A982" s="7"/>
      <c r="B982" s="7"/>
      <c r="C982" s="8"/>
      <c r="D982" s="66"/>
      <c r="E982" s="7"/>
      <c r="F982" s="7"/>
      <c r="I982" s="7"/>
      <c r="J982" s="7"/>
      <c r="K982" s="7"/>
      <c r="L982" s="7"/>
      <c r="M982" s="7"/>
      <c r="N982" s="7"/>
      <c r="O982" s="7"/>
      <c r="P982" s="7"/>
      <c r="Q982" s="7"/>
      <c r="R982" s="7"/>
      <c r="S982" s="7"/>
      <c r="T982" s="7"/>
      <c r="U982" s="7"/>
      <c r="V982" s="7"/>
    </row>
    <row r="983" spans="1:22" ht="12.75" customHeight="1">
      <c r="A983" s="7"/>
      <c r="B983" s="7"/>
      <c r="C983" s="8"/>
      <c r="D983" s="66"/>
      <c r="E983" s="7"/>
      <c r="F983" s="7"/>
      <c r="I983" s="7"/>
      <c r="J983" s="7"/>
      <c r="K983" s="7"/>
      <c r="L983" s="7"/>
      <c r="M983" s="7"/>
      <c r="N983" s="7"/>
      <c r="O983" s="7"/>
      <c r="P983" s="7"/>
      <c r="Q983" s="7"/>
      <c r="R983" s="7"/>
      <c r="S983" s="7"/>
      <c r="T983" s="7"/>
      <c r="U983" s="7"/>
      <c r="V983" s="7"/>
    </row>
    <row r="984" spans="1:22" ht="12.75" customHeight="1">
      <c r="A984" s="7"/>
      <c r="B984" s="7"/>
      <c r="C984" s="8"/>
      <c r="D984" s="66"/>
      <c r="E984" s="7"/>
      <c r="F984" s="7"/>
      <c r="I984" s="7"/>
      <c r="J984" s="7"/>
      <c r="K984" s="7"/>
      <c r="L984" s="7"/>
      <c r="M984" s="7"/>
      <c r="N984" s="7"/>
      <c r="O984" s="7"/>
      <c r="P984" s="7"/>
      <c r="Q984" s="7"/>
      <c r="R984" s="7"/>
      <c r="S984" s="7"/>
      <c r="T984" s="7"/>
      <c r="U984" s="7"/>
      <c r="V984" s="7"/>
    </row>
    <row r="985" spans="1:22" ht="12.75" customHeight="1">
      <c r="A985" s="7"/>
      <c r="B985" s="7"/>
      <c r="C985" s="8"/>
      <c r="D985" s="66"/>
      <c r="E985" s="7"/>
      <c r="F985" s="7"/>
      <c r="I985" s="7"/>
      <c r="J985" s="7"/>
      <c r="K985" s="7"/>
      <c r="L985" s="7"/>
      <c r="M985" s="7"/>
      <c r="N985" s="7"/>
      <c r="O985" s="7"/>
      <c r="P985" s="7"/>
      <c r="Q985" s="7"/>
      <c r="R985" s="7"/>
      <c r="S985" s="7"/>
      <c r="T985" s="7"/>
      <c r="U985" s="7"/>
      <c r="V985" s="7"/>
    </row>
    <row r="986" spans="1:22" ht="12.75" customHeight="1">
      <c r="A986" s="7"/>
      <c r="B986" s="7"/>
      <c r="C986" s="8"/>
      <c r="D986" s="66"/>
      <c r="E986" s="7"/>
      <c r="F986" s="7"/>
      <c r="I986" s="7"/>
      <c r="J986" s="7"/>
      <c r="K986" s="7"/>
      <c r="L986" s="7"/>
      <c r="M986" s="7"/>
      <c r="N986" s="7"/>
      <c r="O986" s="7"/>
      <c r="P986" s="7"/>
      <c r="Q986" s="7"/>
      <c r="R986" s="7"/>
      <c r="S986" s="7"/>
      <c r="T986" s="7"/>
      <c r="U986" s="7"/>
      <c r="V986" s="7"/>
    </row>
    <row r="987" spans="1:22" ht="12.75" customHeight="1">
      <c r="A987" s="7"/>
      <c r="B987" s="7"/>
      <c r="C987" s="8"/>
      <c r="D987" s="66"/>
      <c r="E987" s="7"/>
      <c r="F987" s="7"/>
      <c r="I987" s="7"/>
      <c r="J987" s="7"/>
      <c r="K987" s="7"/>
      <c r="L987" s="7"/>
      <c r="M987" s="7"/>
      <c r="N987" s="7"/>
      <c r="O987" s="7"/>
      <c r="P987" s="7"/>
      <c r="Q987" s="7"/>
      <c r="R987" s="7"/>
      <c r="S987" s="7"/>
      <c r="T987" s="7"/>
      <c r="U987" s="7"/>
      <c r="V987" s="7"/>
    </row>
    <row r="988" spans="1:22" ht="12.75" customHeight="1">
      <c r="A988" s="7"/>
      <c r="B988" s="7"/>
      <c r="C988" s="8"/>
      <c r="D988" s="66"/>
      <c r="E988" s="7"/>
      <c r="F988" s="7"/>
      <c r="I988" s="7"/>
      <c r="J988" s="7"/>
      <c r="K988" s="7"/>
      <c r="L988" s="7"/>
      <c r="M988" s="7"/>
      <c r="N988" s="7"/>
      <c r="O988" s="7"/>
      <c r="P988" s="7"/>
      <c r="Q988" s="7"/>
      <c r="R988" s="7"/>
      <c r="S988" s="7"/>
      <c r="T988" s="7"/>
      <c r="U988" s="7"/>
      <c r="V988" s="7"/>
    </row>
    <row r="989" spans="1:22" ht="12.75" customHeight="1">
      <c r="A989" s="7"/>
      <c r="B989" s="7"/>
      <c r="C989" s="8"/>
      <c r="D989" s="66"/>
      <c r="E989" s="7"/>
      <c r="F989" s="7"/>
      <c r="I989" s="7"/>
      <c r="J989" s="7"/>
      <c r="K989" s="7"/>
      <c r="L989" s="7"/>
      <c r="M989" s="7"/>
      <c r="N989" s="7"/>
      <c r="O989" s="7"/>
      <c r="P989" s="7"/>
      <c r="Q989" s="7"/>
      <c r="R989" s="7"/>
      <c r="S989" s="7"/>
      <c r="T989" s="7"/>
      <c r="U989" s="7"/>
      <c r="V989" s="7"/>
    </row>
    <row r="990" spans="1:22" ht="12.75" customHeight="1">
      <c r="A990" s="7"/>
      <c r="B990" s="7"/>
      <c r="C990" s="8"/>
      <c r="D990" s="66"/>
      <c r="E990" s="7"/>
      <c r="F990" s="7"/>
      <c r="I990" s="7"/>
      <c r="J990" s="7"/>
      <c r="K990" s="7"/>
      <c r="L990" s="7"/>
      <c r="M990" s="7"/>
      <c r="N990" s="7"/>
      <c r="O990" s="7"/>
      <c r="P990" s="7"/>
      <c r="Q990" s="7"/>
      <c r="R990" s="7"/>
      <c r="S990" s="7"/>
      <c r="T990" s="7"/>
      <c r="U990" s="7"/>
      <c r="V990" s="7"/>
    </row>
    <row r="991" spans="1:22" ht="12.75" customHeight="1">
      <c r="A991" s="7"/>
      <c r="B991" s="7"/>
      <c r="C991" s="8"/>
      <c r="D991" s="66"/>
      <c r="E991" s="7"/>
      <c r="F991" s="7"/>
      <c r="I991" s="7"/>
      <c r="J991" s="7"/>
      <c r="K991" s="7"/>
      <c r="L991" s="7"/>
      <c r="M991" s="7"/>
      <c r="N991" s="7"/>
      <c r="O991" s="7"/>
      <c r="P991" s="7"/>
      <c r="Q991" s="7"/>
      <c r="R991" s="7"/>
      <c r="S991" s="7"/>
      <c r="T991" s="7"/>
      <c r="U991" s="7"/>
      <c r="V991" s="7"/>
    </row>
    <row r="992" spans="1:22" ht="12.75" customHeight="1">
      <c r="A992" s="7"/>
      <c r="B992" s="7"/>
      <c r="C992" s="8"/>
      <c r="D992" s="66"/>
      <c r="E992" s="7"/>
      <c r="F992" s="7"/>
      <c r="I992" s="7"/>
      <c r="J992" s="7"/>
      <c r="K992" s="7"/>
      <c r="L992" s="7"/>
      <c r="M992" s="7"/>
      <c r="N992" s="7"/>
      <c r="O992" s="7"/>
      <c r="P992" s="7"/>
      <c r="Q992" s="7"/>
      <c r="R992" s="7"/>
      <c r="S992" s="7"/>
      <c r="T992" s="7"/>
      <c r="U992" s="7"/>
      <c r="V992" s="7"/>
    </row>
    <row r="993" spans="1:22" ht="12.75" customHeight="1">
      <c r="A993" s="7"/>
      <c r="B993" s="7"/>
      <c r="C993" s="8"/>
      <c r="D993" s="66"/>
      <c r="E993" s="7"/>
      <c r="F993" s="7"/>
      <c r="I993" s="7"/>
      <c r="J993" s="7"/>
      <c r="K993" s="7"/>
      <c r="L993" s="7"/>
      <c r="M993" s="7"/>
      <c r="N993" s="7"/>
      <c r="O993" s="7"/>
      <c r="P993" s="7"/>
      <c r="Q993" s="7"/>
      <c r="R993" s="7"/>
      <c r="S993" s="7"/>
      <c r="T993" s="7"/>
      <c r="U993" s="7"/>
      <c r="V993" s="7"/>
    </row>
    <row r="994" spans="1:22" ht="12.75" customHeight="1">
      <c r="A994" s="7"/>
      <c r="B994" s="7"/>
      <c r="C994" s="8"/>
      <c r="D994" s="66"/>
      <c r="E994" s="7"/>
      <c r="F994" s="7"/>
      <c r="I994" s="7"/>
      <c r="J994" s="7"/>
      <c r="K994" s="7"/>
      <c r="L994" s="7"/>
      <c r="M994" s="7"/>
      <c r="N994" s="7"/>
      <c r="O994" s="7"/>
      <c r="P994" s="7"/>
      <c r="Q994" s="7"/>
      <c r="R994" s="7"/>
      <c r="S994" s="7"/>
      <c r="T994" s="7"/>
      <c r="U994" s="7"/>
      <c r="V994" s="7"/>
    </row>
    <row r="995" spans="1:22" ht="12.75" customHeight="1">
      <c r="A995" s="7"/>
      <c r="B995" s="7"/>
      <c r="C995" s="8"/>
      <c r="D995" s="66"/>
      <c r="E995" s="7"/>
      <c r="F995" s="7"/>
      <c r="I995" s="7"/>
      <c r="J995" s="7"/>
      <c r="K995" s="7"/>
      <c r="L995" s="7"/>
      <c r="M995" s="7"/>
      <c r="N995" s="7"/>
      <c r="O995" s="7"/>
      <c r="P995" s="7"/>
      <c r="Q995" s="7"/>
      <c r="R995" s="7"/>
      <c r="S995" s="7"/>
      <c r="T995" s="7"/>
      <c r="U995" s="7"/>
      <c r="V995" s="7"/>
    </row>
    <row r="996" spans="1:22" ht="12.75" customHeight="1">
      <c r="A996" s="7"/>
      <c r="B996" s="7"/>
      <c r="C996" s="8"/>
      <c r="D996" s="66"/>
      <c r="E996" s="7"/>
      <c r="F996" s="7"/>
      <c r="I996" s="7"/>
      <c r="J996" s="7"/>
      <c r="K996" s="7"/>
      <c r="L996" s="7"/>
      <c r="M996" s="7"/>
      <c r="N996" s="7"/>
      <c r="O996" s="7"/>
      <c r="P996" s="7"/>
      <c r="Q996" s="7"/>
      <c r="R996" s="7"/>
      <c r="S996" s="7"/>
      <c r="T996" s="7"/>
      <c r="U996" s="7"/>
      <c r="V996" s="7"/>
    </row>
    <row r="997" spans="1:22" ht="12.75" customHeight="1">
      <c r="A997" s="7"/>
      <c r="B997" s="7"/>
      <c r="C997" s="8"/>
      <c r="D997" s="66"/>
      <c r="E997" s="7"/>
      <c r="F997" s="7"/>
      <c r="I997" s="7"/>
      <c r="J997" s="7"/>
      <c r="K997" s="7"/>
      <c r="L997" s="7"/>
      <c r="M997" s="7"/>
      <c r="N997" s="7"/>
      <c r="O997" s="7"/>
      <c r="P997" s="7"/>
      <c r="Q997" s="7"/>
      <c r="R997" s="7"/>
      <c r="S997" s="7"/>
      <c r="T997" s="7"/>
      <c r="U997" s="7"/>
      <c r="V997" s="7"/>
    </row>
    <row r="998" spans="1:22" ht="12.75" customHeight="1">
      <c r="A998" s="7"/>
      <c r="B998" s="7"/>
      <c r="C998" s="8"/>
      <c r="D998" s="66"/>
      <c r="E998" s="7"/>
      <c r="F998" s="7"/>
      <c r="I998" s="7"/>
      <c r="J998" s="7"/>
      <c r="K998" s="7"/>
      <c r="L998" s="7"/>
      <c r="M998" s="7"/>
      <c r="N998" s="7"/>
      <c r="O998" s="7"/>
      <c r="P998" s="7"/>
      <c r="Q998" s="7"/>
      <c r="R998" s="7"/>
      <c r="S998" s="7"/>
      <c r="T998" s="7"/>
      <c r="U998" s="7"/>
      <c r="V998" s="7"/>
    </row>
    <row r="999" spans="1:22" ht="12.75" customHeight="1">
      <c r="A999" s="7"/>
      <c r="B999" s="7"/>
      <c r="C999" s="8"/>
      <c r="D999" s="66"/>
      <c r="E999" s="7"/>
      <c r="F999" s="7"/>
      <c r="I999" s="7"/>
      <c r="J999" s="7"/>
      <c r="K999" s="7"/>
      <c r="L999" s="7"/>
      <c r="M999" s="7"/>
      <c r="N999" s="7"/>
      <c r="O999" s="7"/>
      <c r="P999" s="7"/>
      <c r="Q999" s="7"/>
      <c r="R999" s="7"/>
      <c r="S999" s="7"/>
      <c r="T999" s="7"/>
      <c r="U999" s="7"/>
      <c r="V999" s="7"/>
    </row>
    <row r="1000" spans="1:22" ht="12.75" customHeight="1">
      <c r="A1000" s="7"/>
      <c r="B1000" s="7"/>
      <c r="C1000" s="8"/>
      <c r="D1000" s="66"/>
      <c r="E1000" s="7"/>
      <c r="F1000" s="7"/>
      <c r="I1000" s="7"/>
      <c r="J1000" s="7"/>
      <c r="K1000" s="7"/>
      <c r="L1000" s="7"/>
      <c r="M1000" s="7"/>
      <c r="N1000" s="7"/>
      <c r="O1000" s="7"/>
      <c r="P1000" s="7"/>
      <c r="Q1000" s="7"/>
      <c r="R1000" s="7"/>
      <c r="S1000" s="7"/>
      <c r="T1000" s="7"/>
      <c r="U1000" s="7"/>
      <c r="V1000" s="7"/>
    </row>
    <row r="1001" spans="1:22" ht="12.75" customHeight="1">
      <c r="A1001" s="7"/>
      <c r="B1001" s="7"/>
      <c r="C1001" s="8"/>
      <c r="D1001" s="66"/>
      <c r="E1001" s="7"/>
      <c r="F1001" s="7"/>
      <c r="I1001" s="7"/>
      <c r="J1001" s="7"/>
      <c r="K1001" s="7"/>
      <c r="L1001" s="7"/>
      <c r="M1001" s="7"/>
      <c r="N1001" s="7"/>
      <c r="O1001" s="7"/>
      <c r="P1001" s="7"/>
      <c r="Q1001" s="7"/>
      <c r="R1001" s="7"/>
      <c r="S1001" s="7"/>
      <c r="T1001" s="7"/>
      <c r="U1001" s="7"/>
      <c r="V1001" s="7"/>
    </row>
    <row r="1002" spans="1:22" ht="12.75" customHeight="1">
      <c r="A1002" s="7"/>
      <c r="B1002" s="7"/>
      <c r="C1002" s="8"/>
      <c r="D1002" s="66"/>
      <c r="E1002" s="7"/>
      <c r="F1002" s="7"/>
      <c r="I1002" s="7"/>
      <c r="J1002" s="7"/>
      <c r="K1002" s="7"/>
      <c r="L1002" s="7"/>
      <c r="M1002" s="7"/>
      <c r="N1002" s="7"/>
      <c r="O1002" s="7"/>
      <c r="P1002" s="7"/>
      <c r="Q1002" s="7"/>
      <c r="R1002" s="7"/>
      <c r="S1002" s="7"/>
      <c r="T1002" s="7"/>
      <c r="U1002" s="7"/>
      <c r="V1002" s="7"/>
    </row>
    <row r="1003" spans="1:22" ht="12.75" customHeight="1">
      <c r="A1003" s="7"/>
      <c r="B1003" s="7"/>
      <c r="C1003" s="8"/>
      <c r="D1003" s="66"/>
      <c r="E1003" s="7"/>
      <c r="F1003" s="7"/>
      <c r="I1003" s="7"/>
      <c r="J1003" s="7"/>
      <c r="K1003" s="7"/>
      <c r="L1003" s="7"/>
      <c r="M1003" s="7"/>
      <c r="N1003" s="7"/>
      <c r="O1003" s="7"/>
      <c r="P1003" s="7"/>
      <c r="Q1003" s="7"/>
      <c r="R1003" s="7"/>
      <c r="S1003" s="7"/>
      <c r="T1003" s="7"/>
      <c r="U1003" s="7"/>
      <c r="V1003" s="7"/>
    </row>
    <row r="1004" spans="1:22" ht="12.75" customHeight="1">
      <c r="A1004" s="7"/>
      <c r="B1004" s="7"/>
      <c r="C1004" s="8"/>
      <c r="D1004" s="66"/>
      <c r="E1004" s="7"/>
      <c r="F1004" s="7"/>
      <c r="I1004" s="7"/>
      <c r="J1004" s="7"/>
      <c r="K1004" s="7"/>
      <c r="L1004" s="7"/>
      <c r="M1004" s="7"/>
      <c r="N1004" s="7"/>
      <c r="O1004" s="7"/>
      <c r="P1004" s="7"/>
      <c r="Q1004" s="7"/>
      <c r="R1004" s="7"/>
      <c r="S1004" s="7"/>
      <c r="T1004" s="7"/>
      <c r="U1004" s="7"/>
      <c r="V1004" s="7"/>
    </row>
    <row r="1005" spans="1:22" ht="12.75" customHeight="1">
      <c r="A1005" s="7"/>
      <c r="B1005" s="7"/>
      <c r="C1005" s="8"/>
      <c r="D1005" s="66"/>
      <c r="E1005" s="7"/>
      <c r="F1005" s="7"/>
      <c r="I1005" s="7"/>
      <c r="J1005" s="7"/>
      <c r="K1005" s="7"/>
      <c r="L1005" s="7"/>
      <c r="M1005" s="7"/>
      <c r="N1005" s="7"/>
      <c r="O1005" s="7"/>
      <c r="P1005" s="7"/>
      <c r="Q1005" s="7"/>
      <c r="R1005" s="7"/>
      <c r="S1005" s="7"/>
      <c r="T1005" s="7"/>
      <c r="U1005" s="7"/>
      <c r="V1005" s="7"/>
    </row>
    <row r="1006" spans="1:22" ht="12.75" customHeight="1">
      <c r="A1006" s="7"/>
      <c r="B1006" s="7"/>
      <c r="C1006" s="8"/>
      <c r="D1006" s="66"/>
      <c r="E1006" s="7"/>
      <c r="F1006" s="7"/>
      <c r="I1006" s="7"/>
      <c r="J1006" s="7"/>
      <c r="K1006" s="7"/>
      <c r="L1006" s="7"/>
      <c r="M1006" s="7"/>
      <c r="N1006" s="7"/>
      <c r="O1006" s="7"/>
      <c r="P1006" s="7"/>
      <c r="Q1006" s="7"/>
      <c r="R1006" s="7"/>
      <c r="S1006" s="7"/>
      <c r="T1006" s="7"/>
      <c r="U1006" s="7"/>
      <c r="V1006" s="7"/>
    </row>
    <row r="1007" spans="1:22" ht="12.75" customHeight="1">
      <c r="A1007" s="7"/>
      <c r="B1007" s="7"/>
      <c r="C1007" s="8"/>
      <c r="D1007" s="66"/>
      <c r="E1007" s="7"/>
      <c r="F1007" s="7"/>
      <c r="I1007" s="7"/>
      <c r="J1007" s="7"/>
      <c r="K1007" s="7"/>
      <c r="L1007" s="7"/>
      <c r="M1007" s="7"/>
      <c r="N1007" s="7"/>
      <c r="O1007" s="7"/>
      <c r="P1007" s="7"/>
      <c r="Q1007" s="7"/>
      <c r="R1007" s="7"/>
      <c r="S1007" s="7"/>
      <c r="T1007" s="7"/>
      <c r="U1007" s="7"/>
      <c r="V1007" s="7"/>
    </row>
  </sheetData>
  <sheetProtection algorithmName="SHA-512" hashValue="fPusIi8N7iutmFVSOroW99SqnoSYC3E9tEkl+wnkcw3ZcAKmX0BALFvC00j8og7//ZAfQggcP4hYyIhOZpIWWg==" saltValue="cT6wXwLhChLzBBOLrJn4pw==" spinCount="100000" sheet="1" objects="1" scenarios="1"/>
  <mergeCells count="11">
    <mergeCell ref="A9:B10"/>
    <mergeCell ref="C9:C10"/>
    <mergeCell ref="D9:D10"/>
    <mergeCell ref="A107:D107"/>
    <mergeCell ref="A108:D108"/>
    <mergeCell ref="A8:B8"/>
    <mergeCell ref="B1:D1"/>
    <mergeCell ref="B2:D2"/>
    <mergeCell ref="A4:D4"/>
    <mergeCell ref="A5:D5"/>
    <mergeCell ref="A6:D6"/>
  </mergeCells>
  <dataValidations count="1">
    <dataValidation type="decimal" allowBlank="1" showInputMessage="1" showErrorMessage="1" sqref="C11:C104" xr:uid="{FC552E88-E623-4032-B256-81F65EF64EE7}">
      <formula1>0</formula1>
      <formula2>1000000000000000</formula2>
    </dataValidation>
  </dataValidations>
  <pageMargins left="0.7" right="0.7" top="0.75" bottom="0.75" header="0.3" footer="0.3"/>
  <pageSetup paperSize="9"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7357A-1EE7-4F61-8CAF-499C2FF69341}">
  <dimension ref="A1:AH173"/>
  <sheetViews>
    <sheetView tabSelected="1" zoomScale="80" zoomScaleNormal="80" workbookViewId="0">
      <pane xSplit="4" ySplit="12" topLeftCell="E13" activePane="bottomRight" state="frozen"/>
      <selection pane="topRight" activeCell="E1" sqref="E1"/>
      <selection pane="bottomLeft" activeCell="A12" sqref="A12"/>
      <selection pane="bottomRight" activeCell="I20" sqref="I20"/>
    </sheetView>
  </sheetViews>
  <sheetFormatPr defaultRowHeight="15"/>
  <cols>
    <col min="1" max="1" width="3.85546875" style="371" bestFit="1" customWidth="1"/>
    <col min="2" max="2" width="3.5703125" style="371" bestFit="1" customWidth="1"/>
    <col min="3" max="3" width="52.7109375" style="371" customWidth="1"/>
    <col min="4" max="4" width="5" style="371" customWidth="1"/>
    <col min="5" max="5" width="19.140625" style="1102" bestFit="1" customWidth="1"/>
    <col min="6" max="6" width="7.7109375" style="371" bestFit="1" customWidth="1"/>
    <col min="7" max="7" width="19.140625" style="386" bestFit="1" customWidth="1"/>
    <col min="8" max="8" width="7.7109375" style="371" bestFit="1" customWidth="1"/>
    <col min="9" max="9" width="19.140625" style="371" bestFit="1" customWidth="1"/>
    <col min="10" max="10" width="7.7109375" style="371" bestFit="1" customWidth="1"/>
    <col min="11" max="11" width="19.140625" style="386" bestFit="1" customWidth="1"/>
    <col min="12" max="12" width="7.7109375" style="371" bestFit="1" customWidth="1"/>
    <col min="13" max="13" width="23.42578125" style="371" bestFit="1" customWidth="1"/>
    <col min="14" max="14" width="5.5703125" style="371" hidden="1" customWidth="1"/>
    <col min="15" max="15" width="15.85546875" style="1108" bestFit="1" customWidth="1"/>
    <col min="16" max="16" width="19.140625" style="371" bestFit="1" customWidth="1"/>
    <col min="17" max="17" width="7.7109375" style="371" bestFit="1" customWidth="1"/>
    <col min="18" max="18" width="19.140625" style="386" bestFit="1" customWidth="1"/>
    <col min="19" max="19" width="7.7109375" style="1105" bestFit="1" customWidth="1"/>
    <col min="20" max="20" width="19.140625" style="371" bestFit="1" customWidth="1"/>
    <col min="21" max="21" width="7.7109375" style="371" bestFit="1" customWidth="1"/>
    <col min="22" max="22" width="19.140625" style="386" bestFit="1" customWidth="1"/>
    <col min="23" max="23" width="7.7109375" style="1106" bestFit="1" customWidth="1"/>
    <col min="24" max="24" width="17.5703125" style="371" customWidth="1"/>
    <col min="25" max="25" width="19.140625" style="371" bestFit="1" customWidth="1"/>
    <col min="26" max="26" width="8.140625" style="371" customWidth="1"/>
    <col min="27" max="27" width="19.140625" style="371" bestFit="1" customWidth="1"/>
    <col min="28" max="28" width="7.7109375" style="371" customWidth="1"/>
    <col min="29" max="29" width="22" style="1107" bestFit="1" customWidth="1"/>
    <col min="30" max="30" width="5.140625" style="1107" hidden="1" customWidth="1"/>
    <col min="31" max="31" width="15" style="1103" bestFit="1" customWidth="1"/>
    <col min="32" max="32" width="8" style="1108" bestFit="1" customWidth="1"/>
    <col min="33" max="33" width="8.28515625" style="1108" bestFit="1" customWidth="1"/>
    <col min="34" max="34" width="9.140625" style="1104"/>
    <col min="35" max="16384" width="9.140625" style="371"/>
  </cols>
  <sheetData>
    <row r="1" spans="1:34">
      <c r="O1" s="1103"/>
      <c r="R1" s="1432" t="s">
        <v>553</v>
      </c>
      <c r="S1" s="1432"/>
      <c r="T1" s="1432"/>
      <c r="U1" s="1432"/>
      <c r="V1" s="1432"/>
      <c r="W1" s="1432"/>
      <c r="X1" s="1432"/>
      <c r="Y1" s="1432"/>
      <c r="Z1" s="1432"/>
      <c r="AA1" s="1432"/>
      <c r="AB1" s="1432"/>
      <c r="AC1" s="1432"/>
      <c r="AD1" s="1432"/>
      <c r="AE1" s="1432"/>
      <c r="AF1" s="1432"/>
      <c r="AG1" s="1432"/>
    </row>
    <row r="2" spans="1:34">
      <c r="O2" s="1103"/>
    </row>
    <row r="3" spans="1:34">
      <c r="O3" s="1103"/>
      <c r="AF3" s="1103"/>
      <c r="AG3" s="1103"/>
    </row>
    <row r="4" spans="1:34">
      <c r="A4" s="1434" t="s">
        <v>554</v>
      </c>
      <c r="B4" s="1434"/>
      <c r="C4" s="1434"/>
      <c r="D4" s="1434"/>
      <c r="E4" s="1434"/>
      <c r="F4" s="1434"/>
      <c r="G4" s="1434"/>
      <c r="H4" s="1434"/>
      <c r="I4" s="1434"/>
      <c r="J4" s="1434"/>
      <c r="K4" s="1434"/>
      <c r="L4" s="1434"/>
      <c r="M4" s="1434"/>
      <c r="N4" s="1434"/>
      <c r="O4" s="1434"/>
      <c r="P4" s="1434"/>
      <c r="Q4" s="1434"/>
      <c r="R4" s="1434"/>
      <c r="S4" s="1434"/>
      <c r="T4" s="1434"/>
      <c r="U4" s="1434"/>
      <c r="V4" s="1434"/>
      <c r="W4" s="1434"/>
      <c r="X4" s="1434"/>
      <c r="Y4" s="1434"/>
      <c r="Z4" s="1434"/>
      <c r="AA4" s="1434"/>
      <c r="AB4" s="1434"/>
      <c r="AC4" s="1434"/>
      <c r="AD4" s="1434"/>
      <c r="AE4" s="1434"/>
      <c r="AF4" s="1434"/>
      <c r="AG4" s="1434"/>
    </row>
    <row r="5" spans="1:34">
      <c r="A5" s="1443" t="str">
        <f>+STATISTICS!A5</f>
        <v>ХАДГАЛАМЖ, ЗЭЭЛИЙН ХОРШООНЫ НЭР</v>
      </c>
      <c r="B5" s="1443"/>
      <c r="C5" s="1443"/>
      <c r="D5" s="1443"/>
      <c r="E5" s="1443"/>
      <c r="F5" s="1443"/>
      <c r="G5" s="1443"/>
      <c r="H5" s="1443"/>
      <c r="I5" s="1443"/>
      <c r="J5" s="1443"/>
      <c r="K5" s="1443"/>
      <c r="L5" s="1443"/>
      <c r="M5" s="1443"/>
      <c r="N5" s="1443"/>
      <c r="O5" s="1443"/>
      <c r="P5" s="1443"/>
      <c r="Q5" s="1443"/>
      <c r="R5" s="1443"/>
      <c r="S5" s="1443"/>
      <c r="T5" s="1443"/>
      <c r="U5" s="1443"/>
      <c r="V5" s="1443"/>
      <c r="W5" s="1443"/>
      <c r="X5" s="1443"/>
      <c r="Y5" s="1443"/>
      <c r="Z5" s="1443"/>
      <c r="AA5" s="1443"/>
      <c r="AB5" s="1443"/>
      <c r="AC5" s="1443"/>
      <c r="AD5" s="1443"/>
      <c r="AE5" s="1443"/>
      <c r="AF5" s="1443"/>
      <c r="AG5" s="1443"/>
    </row>
    <row r="6" spans="1:34">
      <c r="A6" s="1434" t="s">
        <v>38</v>
      </c>
      <c r="B6" s="1434"/>
      <c r="C6" s="1434"/>
      <c r="D6" s="1434"/>
      <c r="E6" s="1434"/>
      <c r="F6" s="1434"/>
      <c r="G6" s="1434"/>
      <c r="H6" s="1434"/>
      <c r="I6" s="1434"/>
      <c r="J6" s="1434"/>
      <c r="K6" s="1434"/>
      <c r="L6" s="1434"/>
      <c r="M6" s="1434"/>
      <c r="N6" s="1434"/>
      <c r="O6" s="1434"/>
      <c r="P6" s="1434"/>
      <c r="Q6" s="1434"/>
      <c r="R6" s="1434"/>
      <c r="S6" s="1434"/>
      <c r="T6" s="1434"/>
      <c r="U6" s="1434"/>
      <c r="V6" s="1434"/>
      <c r="W6" s="1434"/>
      <c r="X6" s="1434"/>
      <c r="Y6" s="1434"/>
      <c r="Z6" s="1434"/>
      <c r="AA6" s="1434"/>
      <c r="AB6" s="1434"/>
      <c r="AC6" s="1434"/>
      <c r="AD6" s="1434"/>
      <c r="AE6" s="1434"/>
      <c r="AF6" s="1434"/>
      <c r="AG6" s="1434"/>
    </row>
    <row r="7" spans="1:34">
      <c r="O7" s="1103"/>
      <c r="AF7" s="1103"/>
      <c r="AG7" s="1103"/>
    </row>
    <row r="8" spans="1:34" ht="15.75" thickBot="1">
      <c r="O8" s="1103"/>
      <c r="AF8" s="1103"/>
      <c r="AG8" s="1103"/>
    </row>
    <row r="9" spans="1:34">
      <c r="A9" s="1464" t="s">
        <v>555</v>
      </c>
      <c r="B9" s="1465"/>
      <c r="C9" s="1466"/>
      <c r="D9" s="1472" t="s">
        <v>556</v>
      </c>
      <c r="E9" s="1475" t="s">
        <v>557</v>
      </c>
      <c r="F9" s="1465"/>
      <c r="G9" s="1465"/>
      <c r="H9" s="1476"/>
      <c r="I9" s="1475" t="s">
        <v>558</v>
      </c>
      <c r="J9" s="1465"/>
      <c r="K9" s="1465"/>
      <c r="L9" s="1465"/>
      <c r="M9" s="1465"/>
      <c r="N9" s="1466"/>
      <c r="O9" s="1476"/>
      <c r="P9" s="1477" t="s">
        <v>559</v>
      </c>
      <c r="Q9" s="1465"/>
      <c r="R9" s="1465"/>
      <c r="S9" s="1476"/>
      <c r="T9" s="1475" t="s">
        <v>560</v>
      </c>
      <c r="U9" s="1465"/>
      <c r="V9" s="1465"/>
      <c r="W9" s="1476"/>
      <c r="X9" s="1480" t="s">
        <v>561</v>
      </c>
      <c r="Y9" s="1475" t="s">
        <v>562</v>
      </c>
      <c r="Z9" s="1465"/>
      <c r="AA9" s="1465"/>
      <c r="AB9" s="1465"/>
      <c r="AC9" s="1465"/>
      <c r="AD9" s="1465"/>
      <c r="AE9" s="1465"/>
      <c r="AF9" s="1465"/>
      <c r="AG9" s="1483"/>
    </row>
    <row r="10" spans="1:34">
      <c r="A10" s="1467"/>
      <c r="B10" s="1453"/>
      <c r="C10" s="1468"/>
      <c r="D10" s="1473"/>
      <c r="E10" s="1452" t="s">
        <v>563</v>
      </c>
      <c r="F10" s="1453"/>
      <c r="G10" s="1453" t="s">
        <v>564</v>
      </c>
      <c r="H10" s="1459"/>
      <c r="I10" s="1452" t="s">
        <v>563</v>
      </c>
      <c r="J10" s="1453"/>
      <c r="K10" s="1453" t="s">
        <v>564</v>
      </c>
      <c r="L10" s="1453"/>
      <c r="M10" s="1453" t="s">
        <v>565</v>
      </c>
      <c r="N10" s="971"/>
      <c r="O10" s="1507" t="s">
        <v>566</v>
      </c>
      <c r="P10" s="1452" t="s">
        <v>563</v>
      </c>
      <c r="Q10" s="1453"/>
      <c r="R10" s="1453" t="s">
        <v>564</v>
      </c>
      <c r="S10" s="1459"/>
      <c r="T10" s="1452" t="s">
        <v>563</v>
      </c>
      <c r="U10" s="1453"/>
      <c r="V10" s="1453" t="s">
        <v>564</v>
      </c>
      <c r="W10" s="1459"/>
      <c r="X10" s="1481"/>
      <c r="Y10" s="1452" t="s">
        <v>563</v>
      </c>
      <c r="Z10" s="1453"/>
      <c r="AA10" s="1453" t="s">
        <v>564</v>
      </c>
      <c r="AB10" s="1453"/>
      <c r="AC10" s="1460" t="s">
        <v>565</v>
      </c>
      <c r="AD10" s="1098"/>
      <c r="AE10" s="1462" t="s">
        <v>566</v>
      </c>
      <c r="AF10" s="1462" t="s">
        <v>567</v>
      </c>
      <c r="AG10" s="1502" t="s">
        <v>568</v>
      </c>
    </row>
    <row r="11" spans="1:34" ht="53.25" customHeight="1" thickBot="1">
      <c r="A11" s="1469"/>
      <c r="B11" s="1470"/>
      <c r="C11" s="1471"/>
      <c r="D11" s="1474"/>
      <c r="E11" s="365" t="s">
        <v>569</v>
      </c>
      <c r="F11" s="369" t="s">
        <v>570</v>
      </c>
      <c r="G11" s="366" t="s">
        <v>569</v>
      </c>
      <c r="H11" s="1039" t="s">
        <v>570</v>
      </c>
      <c r="I11" s="1040" t="s">
        <v>569</v>
      </c>
      <c r="J11" s="369" t="s">
        <v>570</v>
      </c>
      <c r="K11" s="367" t="s">
        <v>569</v>
      </c>
      <c r="L11" s="369" t="s">
        <v>570</v>
      </c>
      <c r="M11" s="1506"/>
      <c r="N11" s="972"/>
      <c r="O11" s="1508"/>
      <c r="P11" s="368" t="s">
        <v>569</v>
      </c>
      <c r="Q11" s="369" t="s">
        <v>570</v>
      </c>
      <c r="R11" s="366" t="s">
        <v>569</v>
      </c>
      <c r="S11" s="1039" t="s">
        <v>570</v>
      </c>
      <c r="T11" s="1040" t="s">
        <v>569</v>
      </c>
      <c r="U11" s="369" t="s">
        <v>570</v>
      </c>
      <c r="V11" s="366" t="s">
        <v>569</v>
      </c>
      <c r="W11" s="369" t="s">
        <v>570</v>
      </c>
      <c r="X11" s="1482"/>
      <c r="Y11" s="368" t="s">
        <v>569</v>
      </c>
      <c r="Z11" s="369" t="s">
        <v>570</v>
      </c>
      <c r="AA11" s="369" t="s">
        <v>569</v>
      </c>
      <c r="AB11" s="369" t="s">
        <v>570</v>
      </c>
      <c r="AC11" s="1461"/>
      <c r="AD11" s="1099"/>
      <c r="AE11" s="1463"/>
      <c r="AF11" s="1463"/>
      <c r="AG11" s="1503"/>
    </row>
    <row r="12" spans="1:34" ht="15.75" thickBot="1">
      <c r="A12" s="1109"/>
      <c r="B12" s="767"/>
      <c r="C12" s="973" t="s">
        <v>571</v>
      </c>
      <c r="D12" s="1110"/>
      <c r="E12" s="766">
        <v>1</v>
      </c>
      <c r="F12" s="767">
        <v>2</v>
      </c>
      <c r="G12" s="767">
        <v>3</v>
      </c>
      <c r="H12" s="768">
        <v>4</v>
      </c>
      <c r="I12" s="769">
        <v>5</v>
      </c>
      <c r="J12" s="767">
        <v>6</v>
      </c>
      <c r="K12" s="767">
        <v>7</v>
      </c>
      <c r="L12" s="767">
        <v>8</v>
      </c>
      <c r="M12" s="767">
        <v>9</v>
      </c>
      <c r="N12" s="973"/>
      <c r="O12" s="770">
        <v>10</v>
      </c>
      <c r="P12" s="769">
        <v>11</v>
      </c>
      <c r="Q12" s="767">
        <v>12</v>
      </c>
      <c r="R12" s="767">
        <v>13</v>
      </c>
      <c r="S12" s="771">
        <v>14</v>
      </c>
      <c r="T12" s="769">
        <v>15</v>
      </c>
      <c r="U12" s="767">
        <v>16</v>
      </c>
      <c r="V12" s="767">
        <v>17</v>
      </c>
      <c r="W12" s="772">
        <v>18</v>
      </c>
      <c r="X12" s="573">
        <v>19</v>
      </c>
      <c r="Y12" s="1053">
        <v>20</v>
      </c>
      <c r="Z12" s="767">
        <v>21</v>
      </c>
      <c r="AA12" s="767">
        <v>22</v>
      </c>
      <c r="AB12" s="767">
        <v>23</v>
      </c>
      <c r="AC12" s="782">
        <v>24</v>
      </c>
      <c r="AD12" s="782"/>
      <c r="AE12" s="780">
        <v>25</v>
      </c>
      <c r="AF12" s="780">
        <v>26</v>
      </c>
      <c r="AG12" s="781">
        <v>27</v>
      </c>
    </row>
    <row r="13" spans="1:34">
      <c r="A13" s="1111"/>
      <c r="B13" s="1112"/>
      <c r="C13" s="1113" t="s">
        <v>572</v>
      </c>
      <c r="D13" s="1100">
        <v>1</v>
      </c>
      <c r="E13" s="1114">
        <f>ROUND(SUM(E14:E17),2)</f>
        <v>0</v>
      </c>
      <c r="F13" s="1115">
        <f>+SUM(F14:F17)</f>
        <v>0</v>
      </c>
      <c r="G13" s="1116">
        <f>ROUND(SUM(G14:G17),2)</f>
        <v>0</v>
      </c>
      <c r="H13" s="1117">
        <f>+SUM(H14:H17)</f>
        <v>0</v>
      </c>
      <c r="I13" s="1118">
        <f>ROUND(SUM(I14:I17),2)</f>
        <v>0</v>
      </c>
      <c r="J13" s="1115">
        <f t="shared" ref="J13:L13" si="0">+SUM(J14:J17)</f>
        <v>0</v>
      </c>
      <c r="K13" s="1116">
        <f>ROUND(SUM(K14:K17),2)</f>
        <v>0</v>
      </c>
      <c r="L13" s="1115">
        <f t="shared" si="0"/>
        <v>0</v>
      </c>
      <c r="M13" s="1119" t="str">
        <f ca="1">IFERROR(AVERAGE(M14:M17),"")</f>
        <v/>
      </c>
      <c r="N13" s="1120">
        <f>+SUM(N14:N17)</f>
        <v>0</v>
      </c>
      <c r="O13" s="1126" t="str">
        <f>IFERROR(N13/I13,"")</f>
        <v/>
      </c>
      <c r="P13" s="1114">
        <f>ROUND(SUM(P14:P17),2)</f>
        <v>0</v>
      </c>
      <c r="Q13" s="1115">
        <f t="shared" ref="Q13:W13" si="1">+SUM(Q14:Q17)</f>
        <v>0</v>
      </c>
      <c r="R13" s="1116">
        <f>ROUND(SUM(R14:R17),2)</f>
        <v>0</v>
      </c>
      <c r="S13" s="1121">
        <f t="shared" si="1"/>
        <v>0</v>
      </c>
      <c r="T13" s="1118">
        <f>ROUND(SUM(T14:T17),2)</f>
        <v>0</v>
      </c>
      <c r="U13" s="1115">
        <f t="shared" si="1"/>
        <v>0</v>
      </c>
      <c r="V13" s="1116">
        <f>ROUND(SUM(V14:V17),2)</f>
        <v>0</v>
      </c>
      <c r="W13" s="1121">
        <f t="shared" si="1"/>
        <v>0</v>
      </c>
      <c r="X13" s="1504" t="s">
        <v>573</v>
      </c>
      <c r="Y13" s="1122">
        <f>ROUND(SUM(Y14:Y17),2)</f>
        <v>0</v>
      </c>
      <c r="Z13" s="1115">
        <f t="shared" ref="Z13:AB13" si="2">+SUM(Z14:Z17)</f>
        <v>0</v>
      </c>
      <c r="AA13" s="1116">
        <f>ROUND(SUM(AA14:AA17),2)</f>
        <v>0</v>
      </c>
      <c r="AB13" s="1115">
        <f t="shared" si="2"/>
        <v>0</v>
      </c>
      <c r="AC13" s="1123" t="e">
        <f ca="1">AVERAGEIF(AC14:AC17,"&gt;0")</f>
        <v>#DIV/0!</v>
      </c>
      <c r="AD13" s="1124">
        <f>+SUM(AD14:AD17)</f>
        <v>0</v>
      </c>
      <c r="AE13" s="1125" t="e">
        <f>+AD13/Y13</f>
        <v>#DIV/0!</v>
      </c>
      <c r="AF13" s="1126">
        <f>+MAX(AF31:AF149)</f>
        <v>0</v>
      </c>
      <c r="AG13" s="1127">
        <f t="array" ref="AG13">+MIN(IF(AG31:AG149&gt;0,AG31:AG149))</f>
        <v>0</v>
      </c>
      <c r="AH13" s="1128" t="str">
        <f>IF(Y13=Balancesheet!C19,"","Балансын дүнгээс "&amp;Y13-Balancesheet!C19&amp;"-ээр зөрүүтэй байна")</f>
        <v/>
      </c>
    </row>
    <row r="14" spans="1:34">
      <c r="A14" s="1454"/>
      <c r="B14" s="1129">
        <v>1</v>
      </c>
      <c r="C14" s="775" t="s">
        <v>163</v>
      </c>
      <c r="D14" s="1130">
        <v>2</v>
      </c>
      <c r="E14" s="1131">
        <f>+ROUND(SUM(E34,E39,E44,E49,E54,E59,E64,E69,E74,E79,E84,E89,E94,E99,E104,E110,E116,E121,E126,E131,E136,E140),2)</f>
        <v>0</v>
      </c>
      <c r="F14" s="1132">
        <f>+F34+F39+F44+F49+F54++F59+F64+F69+F74+F79+F84+F89+F94+F99+F104+F110+F116+F121+F126+F131+F136+F140</f>
        <v>0</v>
      </c>
      <c r="G14" s="1133">
        <f>ROUND(SUM(G34,G39,G44,G49,G54,G59,G64,G69,G74,G79,G84,G89,G94,G99,G104,G110,G116,G121,G126,G131,G136,G140),2)</f>
        <v>0</v>
      </c>
      <c r="H14" s="1134">
        <f>+H34+H39+H44+H49+H54++H59+H64+H69+H74+H79+H84+H89+H94+H99+H104+H110+H116+H121+H126+H131+H136+H140</f>
        <v>0</v>
      </c>
      <c r="I14" s="1131">
        <f>ROUND(SUM(I34,I39,I44,I49,I54,I59,I64,I69,I74,I79,I84,I89,I94,I99,I104,I110,I116,I121,I126,I131,I136,I140),2)</f>
        <v>0</v>
      </c>
      <c r="J14" s="1132">
        <f>+J34+J39+J44+J49+J54++J59+J64+J69+J74+J79+J84+J89+J94+J99+J104+J110+J116+J121+J126+J131+J136+J140</f>
        <v>0</v>
      </c>
      <c r="K14" s="1133">
        <f>ROUND(SUM(K34,K39,K44,K49,K54,K59,K64,K69,K74,K79,K84,K89,K94,K99,K104,K110,K116,K121,K126,K131,K136,K140),2)</f>
        <v>0</v>
      </c>
      <c r="L14" s="1132">
        <f>+L34+L39+L44+L49+L54++L59+L64+L69+L74+L79+L84+L89+L94+L99+L104+L110+L116+L121+L126+L131+L136+L140</f>
        <v>0</v>
      </c>
      <c r="M14" s="1135" t="str">
        <f ca="1">+IFERROR(SUM(M34,M39,M44,M49,M54,M59,M64,M69,M74,M79,M84,M89,M94,M99,M104,M110,M116,M121,M126,M131,M136,M140)/SUM(COUNTIF(INDIRECT({"M34","M39","M44","M49","M54","M59","M64","M69","M74","M79","M84","M89","M94","M99","M104","M110","M116","M121","M126","M131","M136","M140"}),"&gt;0")),"")</f>
        <v/>
      </c>
      <c r="N14" s="1136">
        <f>+SUM(N34+N39+N44+N49+N54+N59+N64+N69+N74+N79+N84+N89+N94+N99+N104+N110+N116+N121+N126+N131+N136+N140)</f>
        <v>0</v>
      </c>
      <c r="O14" s="1137" t="e">
        <f>+N14/I14</f>
        <v>#DIV/0!</v>
      </c>
      <c r="P14" s="1131">
        <f>ROUND(SUM(P34,P39,P44,P49,P54,P59,P64,P69,P74,P79,P84,P89,P94,P99,P104,P110,P116,P121,P126,P131,P136,P140),2)</f>
        <v>0</v>
      </c>
      <c r="Q14" s="1132">
        <f>+Q34+Q39+Q44+Q49+Q54++Q59+Q64+Q69+Q74+Q79+Q84+Q89+Q94+Q99+Q104+Q110+Q116+Q121+Q126+Q131+Q136+Q140</f>
        <v>0</v>
      </c>
      <c r="R14" s="1133">
        <f>ROUND(SUM(R34,R39,R44,R49,R54,R59,R64,R69,R74,R79,R84,R89,R94,R99,R104,R110,R116,R121,R126,R131,R136,R140),2)</f>
        <v>0</v>
      </c>
      <c r="S14" s="1138">
        <f>+S34+S39+S44+S49+S54++S59+S64+S69+S74+S79+S84+S89+S94+S99+S104+S110+S116+S121+S126+S131+S136+S140</f>
        <v>0</v>
      </c>
      <c r="T14" s="1131">
        <f>ROUND(SUM(T34,T39,T44,T49,T54,T59,T64,T69,T74,T79,T84,T89,T94,T99,T104,T110,T116,T121,T126,T131,T136,T140),2)</f>
        <v>0</v>
      </c>
      <c r="U14" s="1132">
        <f>+U34+U39+U44+U49+U54++U59+U64+U69+U74+U79+U84+U89+U94+U99+U104+U110+U116+U121+U126+U131+U136+U140</f>
        <v>0</v>
      </c>
      <c r="V14" s="1133">
        <f>ROUND(SUM(V34,V39,V44,V49,V54,V59,V64,V69,V74,V79,V84,V89,V94,V99,V104,V110,V116,V121,V126,V131,V136,V140),2)</f>
        <v>0</v>
      </c>
      <c r="W14" s="1138">
        <f>+W34+W39+W44+W49+W54++W59+W64+W69+W74+W79+W84+W89+W94+W99+W104+W110+W116+W121+W126+W131+W136+W140</f>
        <v>0</v>
      </c>
      <c r="X14" s="1505"/>
      <c r="Y14" s="1139">
        <f>ROUND(SUM(E14,I14,-P14,-T14),2)</f>
        <v>0</v>
      </c>
      <c r="Z14" s="1132">
        <f>+F14+J14-U14</f>
        <v>0</v>
      </c>
      <c r="AA14" s="1133">
        <f>ROUND(SUM(G14,K14,-R14,-V14),2)</f>
        <v>0</v>
      </c>
      <c r="AB14" s="1132">
        <f>+H14+L14-W14</f>
        <v>0</v>
      </c>
      <c r="AC14" s="1140" t="str">
        <f ca="1">+IFERROR(SUM(AC34,AC39,AC44,AC49,AC54,AC59,AC64,AC69,AC74,AC79,AC84,AC89,AC94,AC99,AC104,AC110,AC116,AC121,AC126,AC131,AC136,AC140)/SUM(COUNTIF(INDIRECT({"AC34","AC39","AC44","AC49","AC54","AC59","AC64","AC69","AC74","AC79","AC84","AC89","AC94","AC99","AC104","AC110","AC116","AC121","AC126","AC131","AC136","AC140"}),"&gt;0")),"")</f>
        <v/>
      </c>
      <c r="AD14" s="1141">
        <f>+SUM(AD34+AD39+AD44+AD49+AD54+AD59+AD64+AD69+AD74+AD79+AD84+AD89+AD94+AD99+AD104+AD110+AD116+AD121+AD126+AD131+AD136+AD140)</f>
        <v>0</v>
      </c>
      <c r="AE14" s="1142" t="e">
        <f>+AD14/Y14</f>
        <v>#DIV/0!</v>
      </c>
      <c r="AF14" s="1142"/>
      <c r="AG14" s="1143"/>
      <c r="AH14" s="1128" t="str">
        <f>IF(Y14=Balancesheet!C20,"","Балансын дүнгээс "&amp;Y14-Balancesheet!C20&amp;"-ээр зөрүүтэй байна")</f>
        <v/>
      </c>
    </row>
    <row r="15" spans="1:34">
      <c r="A15" s="1454"/>
      <c r="B15" s="1129">
        <v>2</v>
      </c>
      <c r="C15" s="1144" t="s">
        <v>574</v>
      </c>
      <c r="D15" s="1130">
        <v>3</v>
      </c>
      <c r="E15" s="1131">
        <f>ROUND(SUM(E35,E40,E45,E50,E55,E60,E65,E70,E75,E80,E85,E90,E95,E100,E105,E111,E117,E122,E127,E132,E137),2)</f>
        <v>0</v>
      </c>
      <c r="F15" s="1132">
        <f t="shared" ref="F15:F17" si="3">+F35+F40+F45+F50+F55++F60+F65+F70+F75+F80+F85+F90+F95+F100+F105+F111+F117+F122+F127+F132+F137</f>
        <v>0</v>
      </c>
      <c r="G15" s="1133">
        <f>ROUND(SUM(G35,G40,G45,G50,G55,G60,G65,G70,G75,G80,G85,G90,G95,G100,G105,G111,G117,G122,G127,G132,G137),2)</f>
        <v>0</v>
      </c>
      <c r="H15" s="1134">
        <f t="shared" ref="H15" si="4">+H35+H40+H45+H50+H55++H60+H65+H70+H75+H80+H85+H90+H95+H100+H105+H111+H117+H122+H127+H132+H137</f>
        <v>0</v>
      </c>
      <c r="I15" s="1131">
        <f>ROUND(SUM(I35,I40,I45,I50,I55,I60,I65,I70,I75,I80,I85,I90,I95,I100,I105,I111,I117,I122,I127,I132,I137),2)</f>
        <v>0</v>
      </c>
      <c r="J15" s="1132">
        <f t="shared" ref="J15" si="5">+J35+J40+J45+J50+J55++J60+J65+J70+J75+J80+J85+J90+J95+J100+J105+J111+J117+J122+J127+J132+J137</f>
        <v>0</v>
      </c>
      <c r="K15" s="1133">
        <f>ROUND(SUM(K35,K40,K45,K50,K55,K60,K65,K70,K75,K80,K85,K90,K95,K100,K105,K111,K117,K122,K127,K132,K137),2)</f>
        <v>0</v>
      </c>
      <c r="L15" s="1132">
        <f t="shared" ref="L15" si="6">+L35+L40+L45+L50+L55++L60+L65+L70+L75+L80+L85+L90+L95+L100+L105+L111+L117+L122+L127+L132+L137</f>
        <v>0</v>
      </c>
      <c r="M15" s="1135" t="str">
        <f ca="1">+IFERROR(SUM(M35,M40,M45,M50,M55,M60,M65,M70,M75,M80,M85,M90,M95,M100,M105,M111,M117,M122,M127,M132,M137)/SUM(COUNTIF(INDIRECT({"M35","M40","M45","M50","M55","M60","M65","M70","M75","M80","M85","M90","M95","M100","M105","M111","M117","M122","M127","M132","M137"}),"&gt;0")),"")</f>
        <v/>
      </c>
      <c r="N15" s="1136">
        <f>+SUM(N35+N40+N45+N50+N55+N60+N65+N70+N75+N80+N85+N90+N95+N100+N105+N111+N117+N122+N127+N132+N137)</f>
        <v>0</v>
      </c>
      <c r="O15" s="1137" t="e">
        <f>+N15/I15</f>
        <v>#DIV/0!</v>
      </c>
      <c r="P15" s="1131">
        <f>ROUND(SUM(P35,P40,P45,P50,P55,P60,P65,P70,P75,P80,P85,P90,P95,P100,P105,P111,P117,P122,P127,P132,P137),2)</f>
        <v>0</v>
      </c>
      <c r="Q15" s="1132">
        <f t="shared" ref="Q15" si="7">+Q35+Q40+Q45+Q50+Q55++Q60+Q65+Q70+Q75+Q80+Q85+Q90+Q95+Q100+Q105+Q111+Q117+Q122+Q127+Q132+Q137</f>
        <v>0</v>
      </c>
      <c r="R15" s="1133">
        <f>ROUND(SUM(R35,R40,R45,R50,R55,R60,R65,R70,R75,R80,R85,R90,R95,R100,R105,R111,R117,R122,R127,R132,R137),2)</f>
        <v>0</v>
      </c>
      <c r="S15" s="1138">
        <f t="shared" ref="S15:S17" si="8">+S35+S40+S45+S50+S55++S60+S65+S70+S75+S80+S85+S90+S95+S100+S105+S111+S117+S122+S127+S132+S137</f>
        <v>0</v>
      </c>
      <c r="T15" s="1131">
        <f>ROUND(SUM(T35,T40,T45,T50,T55,T60,T65,T70,T75,T80,T85,T90,T95,T100,T105,T111,T117,T122,T127,T132,T137),2)</f>
        <v>0</v>
      </c>
      <c r="U15" s="1132">
        <f t="shared" ref="U15" si="9">+U35+U40+U45+U50+U55++U60+U65+U70+U75+U80+U85+U90+U95+U100+U105+U111+U117+U122+U127+U132+U137</f>
        <v>0</v>
      </c>
      <c r="V15" s="1133">
        <f>ROUND(SUM(V35,V40,V45,V50,V55,V60,V65,V70,V75,V80,V85,V90,V95,V100,V105,V111,V117,V122,V127,V132,V137),2)</f>
        <v>0</v>
      </c>
      <c r="W15" s="1138">
        <f t="shared" ref="W15:W17" si="10">+W35+W40+W45+W50+W55++W60+W65+W70+W75+W80+W85+W90+W95+W100+W105+W111+W117+W122+W127+W132+W137</f>
        <v>0</v>
      </c>
      <c r="X15" s="1505"/>
      <c r="Y15" s="1139">
        <f>ROUND(SUM(E15,I15,-P15,-T15),2)</f>
        <v>0</v>
      </c>
      <c r="Z15" s="1132">
        <f t="shared" ref="Z15:Z79" si="11">+F15+J15-U15</f>
        <v>0</v>
      </c>
      <c r="AA15" s="1133">
        <f>ROUND(SUM(G15,K15,-R15,-V15),2)</f>
        <v>0</v>
      </c>
      <c r="AB15" s="1132">
        <f t="shared" ref="AB15:AB29" si="12">+H15+L15-W15</f>
        <v>0</v>
      </c>
      <c r="AC15" s="1140" t="str">
        <f ca="1">+IFERROR(SUM(AC35,AC40,AC45,AC50,AC55,AC60,AC65,AC70,AC75,AC80,AC85,AC90,AC95,AC100,AC105,AC111,AC117,AC122,AC127,AC132,AC137)/SUM(COUNTIF(INDIRECT({"AC35","AC40","AC45","AC50","AC55","AC60","AC65","AC70","AC75","AC80","AC85","AC90","AC95","AC100","AC105","AC111","AC117","AC122","AC127","AC132","AC137"}),"&gt;0")),"")</f>
        <v/>
      </c>
      <c r="AD15" s="1141">
        <f>+SUM(AD35+AD40+AD45+AD50+AD55+AD60+AD65+AD70+AD75+AD80+AD85+AD90+AD95+AD100+AD105+AD111+AD117+AD122+AD127+AD132+AD137)</f>
        <v>0</v>
      </c>
      <c r="AE15" s="1142" t="e">
        <f>+AD15/Y15</f>
        <v>#DIV/0!</v>
      </c>
      <c r="AF15" s="1142"/>
      <c r="AG15" s="1143"/>
      <c r="AH15" s="1128" t="str">
        <f>IF((Y15+Y16+Y17)=Balancesheet!C21,"","Балансын дүнгээс "&amp;(Y15+Y16+Y17)-Balancesheet!C21&amp;"-ээр зөрүүтэй байна")</f>
        <v/>
      </c>
    </row>
    <row r="16" spans="1:34">
      <c r="A16" s="1454"/>
      <c r="B16" s="1129">
        <v>3</v>
      </c>
      <c r="C16" s="1144" t="s">
        <v>575</v>
      </c>
      <c r="D16" s="1130">
        <v>4</v>
      </c>
      <c r="E16" s="1131">
        <f>ROUND(SUM(E36,E41,E46,E51,E56,E61,E66,E71,E76,E81,E86,E91,E96,E101,E106,E112,E118,E123,E128,E133,E138),2)</f>
        <v>0</v>
      </c>
      <c r="F16" s="1132">
        <f t="shared" si="3"/>
        <v>0</v>
      </c>
      <c r="G16" s="1133">
        <f>ROUND(SUM(G36,G41,G46,G51,G56,G61,G66,G71,G76,G81,G86,G91,G96,G101,G106,G112,G118,G123,G128,G133,G138),2)</f>
        <v>0</v>
      </c>
      <c r="H16" s="1134">
        <f t="shared" ref="H16" si="13">+H36+H41+H46+H51+H56++H61+H66+H71+H76+H81+H86+H91+H96+H101+H106+H112+H118+H123+H128+H133+H138</f>
        <v>0</v>
      </c>
      <c r="I16" s="1131">
        <f>ROUND(SUM(I36,I41,I46,I51,I56,I61,I66,I71,I76,I81,I86,I91,I96,I101,I106,I112,I118,I123,I128,I133,I138),2)</f>
        <v>0</v>
      </c>
      <c r="J16" s="1132">
        <f t="shared" ref="J16" si="14">+J36+J41+J46+J51+J56++J61+J66+J71+J76+J81+J86+J91+J96+J101+J106+J112+J118+J123+J128+J133+J138</f>
        <v>0</v>
      </c>
      <c r="K16" s="1133">
        <f>ROUND(SUM(K36,K41,K46,K51,K56,K61,K66,K71,K76,K81,K86,K91,K96,K101,K106,K112,K118,K123,K128,K133,K138),2)</f>
        <v>0</v>
      </c>
      <c r="L16" s="1132">
        <f t="shared" ref="L16" si="15">+L36+L41+L46+L51+L56++L61+L66+L71+L76+L81+L86+L91+L96+L101+L106+L112+L118+L123+L128+L133+L138</f>
        <v>0</v>
      </c>
      <c r="M16" s="1135" t="str">
        <f ca="1">+IFERROR(SUM(M36,M41,M46,M51,M56,M61,M66,M71,M76,M81,M86,M91,M96,M101,M106,M112,M118,M123,M128,M133,M138)/SUM(COUNTIF(INDIRECT({"M36","M41","M46","M51","M56","M61","M66","M71","M76","M81","M86","M91","M96","M101","M106","M112","M118","M123","M128","M133","M138"}),"&gt;0")),"")</f>
        <v/>
      </c>
      <c r="N16" s="1136">
        <f>+SUM(N36+N41+N46+N51+N56+N61+N66+N71+N76+N81+N86+N91+N96+N101+N106+N112+N118+N123+N128+N133+N138)</f>
        <v>0</v>
      </c>
      <c r="O16" s="1137" t="e">
        <f>+N16/I16</f>
        <v>#DIV/0!</v>
      </c>
      <c r="P16" s="1131">
        <f>+ROUND(SUM(P36,P41,P46,P51,P56,P61,P66,P71,P76,P81,P86,P91,P96,P101,P106,P112,P118,P123,P128,P133,P138),2)</f>
        <v>0</v>
      </c>
      <c r="Q16" s="1132">
        <f t="shared" ref="Q16" si="16">+Q36+Q41+Q46+Q51+Q56++Q61+Q66+Q71+Q76+Q81+Q86+Q91+Q96+Q101+Q106+Q112+Q118+Q123+Q128+Q133+Q138</f>
        <v>0</v>
      </c>
      <c r="R16" s="1133">
        <f>ROUND(SUM(R36,R41,R46,R51,R56,R61,R66,R71,R76,R81,R86,R91,R96,R101,R106,R112,R118,R123,R128,R133,R138),2)</f>
        <v>0</v>
      </c>
      <c r="S16" s="1138">
        <f t="shared" si="8"/>
        <v>0</v>
      </c>
      <c r="T16" s="1131">
        <f>ROUND(SUM(T36,T41,T46,T51,T56,T61,T66,T71,T76,T81,T86,T91,T96,T101,T106,T112,T118,T123,T128,T133,T138),2)</f>
        <v>0</v>
      </c>
      <c r="U16" s="1132">
        <f t="shared" ref="U16" si="17">+U36+U41+U46+U51+U56++U61+U66+U71+U76+U81+U86+U91+U96+U101+U106+U112+U118+U123+U128+U133+U138</f>
        <v>0</v>
      </c>
      <c r="V16" s="1133">
        <f>ROUND(SUM(V36,V41,V46,V51,V56,V61,V66,V71,V76,V81,V86,V91,V96,V101,V106,V112,V118,V123,V128,V133,V138),2)</f>
        <v>0</v>
      </c>
      <c r="W16" s="1138">
        <f t="shared" si="10"/>
        <v>0</v>
      </c>
      <c r="X16" s="1505"/>
      <c r="Y16" s="1139">
        <f>ROUND(SUM(E16,I16,-P16,-T16),2)</f>
        <v>0</v>
      </c>
      <c r="Z16" s="1132">
        <f t="shared" si="11"/>
        <v>0</v>
      </c>
      <c r="AA16" s="1133">
        <f>ROUND(SUM(G16,K16,-R16,-V16),2)</f>
        <v>0</v>
      </c>
      <c r="AB16" s="1132">
        <f t="shared" si="12"/>
        <v>0</v>
      </c>
      <c r="AC16" s="1140" t="str">
        <f ca="1">+IFERROR(SUM(AC36,AC41,AC46,AC51,AC56,AC61,AC66,AC71,AC76,AC81,AC86,AC91,AC96,AC101,AC106,AC112,AC118,AC123,AC128,AC133,AC138)/SUM(COUNTIF(INDIRECT({"AC36","AC41","AC46","AC51","AC56","AC61","AC66","AC71","AC76","AC81","AC86","AC91","AC96","AC101","AC106","AC112","AC118","AC123","AC128","AC133","AC138"}),"&gt;0")),"")</f>
        <v/>
      </c>
      <c r="AD16" s="1141">
        <f>+SUM(AD36+AD41+AD46+AD51+AD56+AD61+AD66+AD71+AD76+AD81+AD86+AD91+AD96+AD101+AD106+AD112+AD118+AD123+AD128+AD133+AD138)</f>
        <v>0</v>
      </c>
      <c r="AE16" s="1142" t="e">
        <f>+AD16/Y16</f>
        <v>#DIV/0!</v>
      </c>
      <c r="AF16" s="1142"/>
      <c r="AG16" s="1143"/>
    </row>
    <row r="17" spans="1:34">
      <c r="A17" s="1454"/>
      <c r="B17" s="1129">
        <v>4</v>
      </c>
      <c r="C17" s="1144" t="s">
        <v>576</v>
      </c>
      <c r="D17" s="1130">
        <v>5</v>
      </c>
      <c r="E17" s="1131">
        <f>ROUND(SUM(E37,E42,E47,E52,E57,E62,E67,E72,E77,E82,E87,E92,E97,E102,E107,E113,E119,E124,E129,E134,E139),2)</f>
        <v>0</v>
      </c>
      <c r="F17" s="1132">
        <f t="shared" si="3"/>
        <v>0</v>
      </c>
      <c r="G17" s="1133">
        <f>ROUND(SUM(G37,G42,G47,G52,G57,G62,G67,G72,G77,G82,G87,G92,G97,G102,G107,G113,G119,G124,G129,G134,G139),2)</f>
        <v>0</v>
      </c>
      <c r="H17" s="1134">
        <f t="shared" ref="H17" si="18">+H37+H42+H47+H52+H57++H62+H67+H72+H77+H82+H87+H92+H97+H102+H107+H113+H119+H124+H129+H134+H139</f>
        <v>0</v>
      </c>
      <c r="I17" s="1131">
        <f>ROUND(SUM(I37,I42,I47,I52,I57,I62,I67,I72,I77,I82,I87,I92,I97,I102,I107,I113,I119,I124,I129,I134,I139),2)</f>
        <v>0</v>
      </c>
      <c r="J17" s="1132">
        <f t="shared" ref="J17" si="19">+J37+J42+J47+J52+J57++J62+J67+J72+J77+J82+J87+J92+J97+J102+J107+J113+J119+J124+J129+J134+J139</f>
        <v>0</v>
      </c>
      <c r="K17" s="1133">
        <f>ROUND(SUM(K37,K42,K47,K52,K57,K62,K67,K72,K77,K82,K87,K92,K97,K102,K107,K113,K119,K124,K129,K134,K139),2)</f>
        <v>0</v>
      </c>
      <c r="L17" s="1132">
        <f t="shared" ref="L17" si="20">+L37+L42+L47+L52+L57++L62+L67+L72+L77+L82+L87+L92+L97+L102+L107+L113+L119+L124+L129+L134+L139</f>
        <v>0</v>
      </c>
      <c r="M17" s="1135" t="str">
        <f ca="1">+IFERROR(SUM(M37,M42,M47,M52,M57,M62,M67,M72,M77,M82,M87,M92,M97,M102,M107,M113,M119,M124,M129,M134,M139)/SUM(COUNTIF(INDIRECT({"M37","M42","M47","M52","M57","M62","M67","M72","M77","M82","M87","M92","M97","M102","M107","M113","M119","M124","M129","M134","M139"}),"&gt;0")),"")</f>
        <v/>
      </c>
      <c r="N17" s="1136">
        <f>+SUM(N37+N42+N47+N52+N57+N62+N67+N72+N77+N82+N87+N92+N97+N102+N107+N113+N119+N124+N129+N134+N139)</f>
        <v>0</v>
      </c>
      <c r="O17" s="1137" t="e">
        <f>+N17/I17</f>
        <v>#DIV/0!</v>
      </c>
      <c r="P17" s="1131">
        <f>ROUND(SUM(P37,P42,P47,P52,P57,P62,P67,P72,P77,P82,P87,P92,P97,P102,P107,P113,P119,P124,P129,P134,P139),2)</f>
        <v>0</v>
      </c>
      <c r="Q17" s="1132">
        <f t="shared" ref="Q17" si="21">+Q37+Q42+Q47+Q52+Q57++Q62+Q67+Q72+Q77+Q82+Q87+Q92+Q97+Q102+Q107+Q113+Q119+Q124+Q129+Q134+Q139</f>
        <v>0</v>
      </c>
      <c r="R17" s="1133">
        <f>ROUND(SUM(R37,R42,R47,R52,R57,R62,R67,R72,R77,R82,R87,R92,R97,R102,R107,R113,R119,R124,R129,R134,R139),2)</f>
        <v>0</v>
      </c>
      <c r="S17" s="1138">
        <f t="shared" si="8"/>
        <v>0</v>
      </c>
      <c r="T17" s="1131">
        <f>ROUND(SUM(T37,T42,T47,T52,T57,T62,T67,T72,T77,T82,T87,T92,T97,T102,T107,T113,T119,T124,T129,T134,T139),2)</f>
        <v>0</v>
      </c>
      <c r="U17" s="1132">
        <f t="shared" ref="U17" si="22">+U37+U42+U47+U52+U57++U62+U67+U72+U77+U82+U87+U92+U97+U102+U107+U113+U119+U124+U129+U134+U139</f>
        <v>0</v>
      </c>
      <c r="V17" s="1133">
        <f>ROUND(SUM(V37,V42,V47,V52,V57,V62,V67,V72,V77,V82,V87,V92,V97,V102,V107,V113,V119,V124,V129,V134,V139),2)</f>
        <v>0</v>
      </c>
      <c r="W17" s="1138">
        <f t="shared" si="10"/>
        <v>0</v>
      </c>
      <c r="X17" s="1505"/>
      <c r="Y17" s="1139">
        <f>ROUND(SUM(E17,I17,-P17,-T17),2)</f>
        <v>0</v>
      </c>
      <c r="Z17" s="1132">
        <f t="shared" si="11"/>
        <v>0</v>
      </c>
      <c r="AA17" s="1133">
        <f>ROUND(SUM(G17,K17,-R17,-V17),2)</f>
        <v>0</v>
      </c>
      <c r="AB17" s="1132">
        <f t="shared" si="12"/>
        <v>0</v>
      </c>
      <c r="AC17" s="1140" t="str">
        <f ca="1">+IFERROR(SUM(AC37,AC42,AC47,AC52,AC57,AC62,AC67,AC72,AC77,AC82,AC87,AC92,AC97,AC102,AC107,AC113,AC119,AC124,AC129,AC134,AC139)/SUM(COUNTIF(INDIRECT({"AC37","AC42","AC47","AC52","AC57","AC62","AC67","AC72","AC77","AC82","AC87","AC92","AC97","AC102","AC107","AC113","AC119","AC124","AC129","AC134","AC139"}),"&gt;0")),"")</f>
        <v/>
      </c>
      <c r="AD17" s="1141">
        <f>+SUM(AD37+AD42+AD47+AD52+AD57+AD62+AD67+AD72+AD77+AD82+AD87+AD92+AD97+AD102+AD107+AD113+AD119+AD124+AD129+AD134+AD139)</f>
        <v>0</v>
      </c>
      <c r="AE17" s="1142" t="e">
        <f>+AD17/Y17</f>
        <v>#DIV/0!</v>
      </c>
      <c r="AF17" s="1142"/>
      <c r="AG17" s="1143"/>
    </row>
    <row r="18" spans="1:34">
      <c r="A18" s="1437" t="s">
        <v>577</v>
      </c>
      <c r="B18" s="1145">
        <v>5</v>
      </c>
      <c r="C18" s="1146" t="s">
        <v>578</v>
      </c>
      <c r="D18" s="1130">
        <v>6</v>
      </c>
      <c r="E18" s="1147"/>
      <c r="F18" s="1148"/>
      <c r="G18" s="1149"/>
      <c r="H18" s="1150"/>
      <c r="I18" s="1147"/>
      <c r="J18" s="1148"/>
      <c r="K18" s="1149"/>
      <c r="L18" s="1148"/>
      <c r="M18" s="1151"/>
      <c r="N18" s="1152">
        <f>+I18*O18</f>
        <v>0</v>
      </c>
      <c r="O18" s="1153"/>
      <c r="P18" s="1154"/>
      <c r="Q18" s="1148"/>
      <c r="R18" s="1149"/>
      <c r="S18" s="1155"/>
      <c r="T18" s="1147"/>
      <c r="U18" s="1148"/>
      <c r="V18" s="1149"/>
      <c r="W18" s="1155"/>
      <c r="X18" s="1505"/>
      <c r="Y18" s="1156">
        <f t="shared" ref="Y18:Y81" si="23">ROUND(SUM(E18,I18,-P18,-T18),2)</f>
        <v>0</v>
      </c>
      <c r="Z18" s="1157">
        <f t="shared" si="11"/>
        <v>0</v>
      </c>
      <c r="AA18" s="1158">
        <f t="shared" ref="AA18:AA29" si="24">ROUND(SUM(G18,K18,-R18,-V18),2)</f>
        <v>0</v>
      </c>
      <c r="AB18" s="1157">
        <f t="shared" si="12"/>
        <v>0</v>
      </c>
      <c r="AC18" s="1159"/>
      <c r="AD18" s="1160"/>
      <c r="AE18" s="1161"/>
      <c r="AF18" s="1161"/>
      <c r="AG18" s="1162"/>
      <c r="AH18" s="1163" t="str">
        <f t="shared" ref="AH18:AH24" si="25">IF(I18&gt;0,IF(AND(O18&gt;0,O18&lt;0.15,AE18&gt;0,AE18&lt;0.15,AF18&gt;0,AF18&lt;0.15,AG18&gt;0,AG18&lt;0.15),"","ЗЖДХ болон дээд хүүг сараар шивнэ үү."),"")</f>
        <v/>
      </c>
    </row>
    <row r="19" spans="1:34" ht="15" customHeight="1">
      <c r="A19" s="1438"/>
      <c r="B19" s="1145">
        <v>6</v>
      </c>
      <c r="C19" s="1146" t="s">
        <v>579</v>
      </c>
      <c r="D19" s="1130">
        <v>7</v>
      </c>
      <c r="E19" s="1147"/>
      <c r="F19" s="1148"/>
      <c r="G19" s="1149"/>
      <c r="H19" s="1150"/>
      <c r="I19" s="1147"/>
      <c r="J19" s="1148"/>
      <c r="K19" s="1149"/>
      <c r="L19" s="1148"/>
      <c r="M19" s="1164"/>
      <c r="N19" s="1152">
        <f>+I19*O19</f>
        <v>0</v>
      </c>
      <c r="O19" s="1165"/>
      <c r="P19" s="1147"/>
      <c r="Q19" s="1148"/>
      <c r="R19" s="1149"/>
      <c r="S19" s="1155"/>
      <c r="T19" s="1147"/>
      <c r="U19" s="1148"/>
      <c r="V19" s="1149"/>
      <c r="W19" s="1155"/>
      <c r="X19" s="1505"/>
      <c r="Y19" s="1156">
        <f t="shared" si="23"/>
        <v>0</v>
      </c>
      <c r="Z19" s="1157">
        <f t="shared" si="11"/>
        <v>0</v>
      </c>
      <c r="AA19" s="1158">
        <f t="shared" si="24"/>
        <v>0</v>
      </c>
      <c r="AB19" s="1157">
        <f t="shared" si="12"/>
        <v>0</v>
      </c>
      <c r="AC19" s="1159"/>
      <c r="AD19" s="1160">
        <f>+Y19*AE19</f>
        <v>0</v>
      </c>
      <c r="AE19" s="1161"/>
      <c r="AF19" s="1161"/>
      <c r="AG19" s="1162"/>
      <c r="AH19" s="1163" t="str">
        <f t="shared" si="25"/>
        <v/>
      </c>
    </row>
    <row r="20" spans="1:34">
      <c r="A20" s="1438"/>
      <c r="B20" s="1145">
        <v>7</v>
      </c>
      <c r="C20" s="1146" t="s">
        <v>580</v>
      </c>
      <c r="D20" s="1130">
        <v>8</v>
      </c>
      <c r="E20" s="1147"/>
      <c r="F20" s="1148"/>
      <c r="G20" s="1149"/>
      <c r="H20" s="1150"/>
      <c r="I20" s="1147"/>
      <c r="J20" s="1148"/>
      <c r="K20" s="1149"/>
      <c r="L20" s="1148"/>
      <c r="M20" s="1164"/>
      <c r="N20" s="1152">
        <f>+I20*O20</f>
        <v>0</v>
      </c>
      <c r="O20" s="1165"/>
      <c r="P20" s="1147"/>
      <c r="Q20" s="1148"/>
      <c r="R20" s="1149"/>
      <c r="S20" s="1155"/>
      <c r="T20" s="1147"/>
      <c r="U20" s="1148"/>
      <c r="V20" s="1149"/>
      <c r="W20" s="1155"/>
      <c r="X20" s="1505"/>
      <c r="Y20" s="1156">
        <f t="shared" si="23"/>
        <v>0</v>
      </c>
      <c r="Z20" s="1157">
        <f t="shared" si="11"/>
        <v>0</v>
      </c>
      <c r="AA20" s="1158">
        <f t="shared" si="24"/>
        <v>0</v>
      </c>
      <c r="AB20" s="1157">
        <f t="shared" si="12"/>
        <v>0</v>
      </c>
      <c r="AC20" s="1159"/>
      <c r="AD20" s="1160">
        <f>+Y20*AE20</f>
        <v>0</v>
      </c>
      <c r="AE20" s="1161"/>
      <c r="AF20" s="1161"/>
      <c r="AG20" s="1162"/>
      <c r="AH20" s="1163" t="str">
        <f t="shared" si="25"/>
        <v/>
      </c>
    </row>
    <row r="21" spans="1:34">
      <c r="A21" s="1438"/>
      <c r="B21" s="1145">
        <v>8</v>
      </c>
      <c r="C21" s="1146" t="s">
        <v>581</v>
      </c>
      <c r="D21" s="1130">
        <v>9</v>
      </c>
      <c r="E21" s="1147"/>
      <c r="F21" s="1148"/>
      <c r="G21" s="1149"/>
      <c r="H21" s="1150"/>
      <c r="I21" s="1147"/>
      <c r="J21" s="1148"/>
      <c r="K21" s="1149"/>
      <c r="L21" s="1148"/>
      <c r="M21" s="1164"/>
      <c r="N21" s="1152">
        <f t="shared" ref="N21:N24" si="26">+I21*O21</f>
        <v>0</v>
      </c>
      <c r="O21" s="1165"/>
      <c r="P21" s="1147"/>
      <c r="Q21" s="1148"/>
      <c r="R21" s="1149"/>
      <c r="S21" s="1155"/>
      <c r="T21" s="1147"/>
      <c r="U21" s="1148"/>
      <c r="V21" s="1149"/>
      <c r="W21" s="1155"/>
      <c r="X21" s="1505"/>
      <c r="Y21" s="1156">
        <f t="shared" si="23"/>
        <v>0</v>
      </c>
      <c r="Z21" s="1157">
        <f t="shared" si="11"/>
        <v>0</v>
      </c>
      <c r="AA21" s="1158">
        <f t="shared" si="24"/>
        <v>0</v>
      </c>
      <c r="AB21" s="1157">
        <f t="shared" si="12"/>
        <v>0</v>
      </c>
      <c r="AC21" s="1159"/>
      <c r="AD21" s="1160">
        <f t="shared" ref="AD21:AD24" si="27">+Y21*AE21</f>
        <v>0</v>
      </c>
      <c r="AE21" s="1161"/>
      <c r="AF21" s="1161"/>
      <c r="AG21" s="1162"/>
      <c r="AH21" s="1163" t="str">
        <f t="shared" si="25"/>
        <v/>
      </c>
    </row>
    <row r="22" spans="1:34">
      <c r="A22" s="1438"/>
      <c r="B22" s="1145">
        <v>9</v>
      </c>
      <c r="C22" s="1146" t="s">
        <v>582</v>
      </c>
      <c r="D22" s="1130">
        <v>10</v>
      </c>
      <c r="E22" s="1147"/>
      <c r="F22" s="1148"/>
      <c r="G22" s="1149"/>
      <c r="H22" s="1150"/>
      <c r="I22" s="1147"/>
      <c r="J22" s="1148"/>
      <c r="K22" s="1149"/>
      <c r="L22" s="1148"/>
      <c r="M22" s="1164"/>
      <c r="N22" s="1152">
        <f t="shared" si="26"/>
        <v>0</v>
      </c>
      <c r="O22" s="1165"/>
      <c r="P22" s="1147"/>
      <c r="Q22" s="1148"/>
      <c r="R22" s="1149"/>
      <c r="S22" s="1155"/>
      <c r="T22" s="1147"/>
      <c r="U22" s="1148"/>
      <c r="V22" s="1149"/>
      <c r="W22" s="1155"/>
      <c r="X22" s="1505"/>
      <c r="Y22" s="1156">
        <f t="shared" si="23"/>
        <v>0</v>
      </c>
      <c r="Z22" s="1157">
        <f t="shared" si="11"/>
        <v>0</v>
      </c>
      <c r="AA22" s="1158">
        <f t="shared" si="24"/>
        <v>0</v>
      </c>
      <c r="AB22" s="1157">
        <f t="shared" si="12"/>
        <v>0</v>
      </c>
      <c r="AC22" s="1159"/>
      <c r="AD22" s="1160">
        <f t="shared" si="27"/>
        <v>0</v>
      </c>
      <c r="AE22" s="1161"/>
      <c r="AF22" s="1161"/>
      <c r="AG22" s="1162"/>
      <c r="AH22" s="1163" t="str">
        <f t="shared" si="25"/>
        <v/>
      </c>
    </row>
    <row r="23" spans="1:34">
      <c r="A23" s="1438"/>
      <c r="B23" s="1145">
        <v>10</v>
      </c>
      <c r="C23" s="1146" t="s">
        <v>583</v>
      </c>
      <c r="D23" s="1130">
        <v>11</v>
      </c>
      <c r="E23" s="1147"/>
      <c r="F23" s="1148"/>
      <c r="G23" s="1149"/>
      <c r="H23" s="1150"/>
      <c r="I23" s="1147"/>
      <c r="J23" s="1148"/>
      <c r="K23" s="1149"/>
      <c r="L23" s="1148"/>
      <c r="M23" s="1164"/>
      <c r="N23" s="1152">
        <f t="shared" si="26"/>
        <v>0</v>
      </c>
      <c r="O23" s="1165"/>
      <c r="P23" s="1147"/>
      <c r="Q23" s="1148"/>
      <c r="R23" s="1149"/>
      <c r="S23" s="1155"/>
      <c r="T23" s="1147"/>
      <c r="U23" s="1148"/>
      <c r="V23" s="1149"/>
      <c r="W23" s="1155"/>
      <c r="X23" s="1505"/>
      <c r="Y23" s="1156">
        <f t="shared" si="23"/>
        <v>0</v>
      </c>
      <c r="Z23" s="1157">
        <f t="shared" si="11"/>
        <v>0</v>
      </c>
      <c r="AA23" s="1158">
        <f t="shared" si="24"/>
        <v>0</v>
      </c>
      <c r="AB23" s="1157">
        <f t="shared" si="12"/>
        <v>0</v>
      </c>
      <c r="AC23" s="1159"/>
      <c r="AD23" s="1160">
        <f t="shared" si="27"/>
        <v>0</v>
      </c>
      <c r="AE23" s="1161"/>
      <c r="AF23" s="1161"/>
      <c r="AG23" s="1162"/>
      <c r="AH23" s="1163" t="str">
        <f t="shared" si="25"/>
        <v/>
      </c>
    </row>
    <row r="24" spans="1:34">
      <c r="A24" s="1439"/>
      <c r="B24" s="1145">
        <v>11</v>
      </c>
      <c r="C24" s="1146" t="s">
        <v>584</v>
      </c>
      <c r="D24" s="1130">
        <v>12</v>
      </c>
      <c r="E24" s="1147"/>
      <c r="F24" s="1148"/>
      <c r="G24" s="1149"/>
      <c r="H24" s="1150"/>
      <c r="I24" s="1147"/>
      <c r="J24" s="1148"/>
      <c r="K24" s="1149"/>
      <c r="L24" s="1148"/>
      <c r="M24" s="1164"/>
      <c r="N24" s="1152">
        <f t="shared" si="26"/>
        <v>0</v>
      </c>
      <c r="O24" s="1165"/>
      <c r="P24" s="1147"/>
      <c r="Q24" s="1148"/>
      <c r="R24" s="1149"/>
      <c r="S24" s="1155"/>
      <c r="T24" s="1147"/>
      <c r="U24" s="1148"/>
      <c r="V24" s="1149"/>
      <c r="W24" s="1155"/>
      <c r="X24" s="1505"/>
      <c r="Y24" s="1156">
        <f t="shared" si="23"/>
        <v>0</v>
      </c>
      <c r="Z24" s="1157">
        <f t="shared" si="11"/>
        <v>0</v>
      </c>
      <c r="AA24" s="1158">
        <f t="shared" si="24"/>
        <v>0</v>
      </c>
      <c r="AB24" s="1157">
        <f t="shared" si="12"/>
        <v>0</v>
      </c>
      <c r="AC24" s="1159"/>
      <c r="AD24" s="1160">
        <f t="shared" si="27"/>
        <v>0</v>
      </c>
      <c r="AE24" s="1161"/>
      <c r="AF24" s="1161"/>
      <c r="AG24" s="1162"/>
      <c r="AH24" s="1163" t="str">
        <f t="shared" si="25"/>
        <v/>
      </c>
    </row>
    <row r="25" spans="1:34" ht="15.75" customHeight="1">
      <c r="A25" s="1455" t="s">
        <v>585</v>
      </c>
      <c r="B25" s="1166">
        <v>12</v>
      </c>
      <c r="C25" s="1167" t="s">
        <v>586</v>
      </c>
      <c r="D25" s="1130">
        <v>13</v>
      </c>
      <c r="E25" s="1168"/>
      <c r="F25" s="1169"/>
      <c r="G25" s="1170"/>
      <c r="H25" s="1171"/>
      <c r="I25" s="1168"/>
      <c r="J25" s="1169"/>
      <c r="K25" s="1170"/>
      <c r="L25" s="1169"/>
      <c r="M25" s="1484" t="s">
        <v>573</v>
      </c>
      <c r="N25" s="1485"/>
      <c r="O25" s="1486"/>
      <c r="P25" s="1168"/>
      <c r="Q25" s="1169"/>
      <c r="R25" s="1170"/>
      <c r="S25" s="1172"/>
      <c r="T25" s="1168"/>
      <c r="U25" s="1169"/>
      <c r="V25" s="1173"/>
      <c r="W25" s="1172"/>
      <c r="X25" s="1505"/>
      <c r="Y25" s="1174">
        <f t="shared" si="23"/>
        <v>0</v>
      </c>
      <c r="Z25" s="1175">
        <f t="shared" si="11"/>
        <v>0</v>
      </c>
      <c r="AA25" s="1176">
        <f t="shared" si="24"/>
        <v>0</v>
      </c>
      <c r="AB25" s="1175">
        <f t="shared" si="12"/>
        <v>0</v>
      </c>
      <c r="AC25" s="1493" t="s">
        <v>587</v>
      </c>
      <c r="AD25" s="1494"/>
      <c r="AE25" s="1494"/>
      <c r="AF25" s="1494"/>
      <c r="AG25" s="1495"/>
      <c r="AH25" s="1128" t="str">
        <f>IF(Y25=Balancesheet!C22,"","Балансын дүнгээс "&amp;Y25-Balancesheet!C22&amp;"-ээр зөрүүтэй байна")</f>
        <v/>
      </c>
    </row>
    <row r="26" spans="1:34" ht="15.75" customHeight="1">
      <c r="A26" s="1455"/>
      <c r="B26" s="1166">
        <v>13</v>
      </c>
      <c r="C26" s="1167" t="s">
        <v>588</v>
      </c>
      <c r="D26" s="1130">
        <v>14</v>
      </c>
      <c r="E26" s="1168"/>
      <c r="F26" s="1169"/>
      <c r="G26" s="1170"/>
      <c r="H26" s="1171"/>
      <c r="I26" s="1168"/>
      <c r="J26" s="1169"/>
      <c r="K26" s="1170"/>
      <c r="L26" s="1169"/>
      <c r="M26" s="1487"/>
      <c r="N26" s="1488"/>
      <c r="O26" s="1489"/>
      <c r="P26" s="1168"/>
      <c r="Q26" s="1169"/>
      <c r="R26" s="1170"/>
      <c r="S26" s="1172"/>
      <c r="T26" s="1168"/>
      <c r="U26" s="1177"/>
      <c r="V26" s="1170"/>
      <c r="W26" s="1178"/>
      <c r="X26" s="1179"/>
      <c r="Y26" s="1174">
        <f t="shared" si="23"/>
        <v>0</v>
      </c>
      <c r="Z26" s="1175">
        <f t="shared" si="11"/>
        <v>0</v>
      </c>
      <c r="AA26" s="1176">
        <f t="shared" si="24"/>
        <v>0</v>
      </c>
      <c r="AB26" s="1175">
        <f t="shared" si="12"/>
        <v>0</v>
      </c>
      <c r="AC26" s="1496"/>
      <c r="AD26" s="1497"/>
      <c r="AE26" s="1497"/>
      <c r="AF26" s="1497"/>
      <c r="AG26" s="1498"/>
      <c r="AH26" s="1128" t="str">
        <f>IF(Y26=Balancesheet!C23,"","Балансын дүнгээс "&amp;Y26-Balancesheet!C23&amp;"-ээр зөрүүтэй байна")</f>
        <v/>
      </c>
    </row>
    <row r="27" spans="1:34" ht="15.75" customHeight="1">
      <c r="A27" s="1455"/>
      <c r="B27" s="1166">
        <v>14</v>
      </c>
      <c r="C27" s="1167" t="s">
        <v>589</v>
      </c>
      <c r="D27" s="1130">
        <v>15</v>
      </c>
      <c r="E27" s="1168"/>
      <c r="F27" s="1169"/>
      <c r="G27" s="1170"/>
      <c r="H27" s="1171"/>
      <c r="I27" s="1168"/>
      <c r="J27" s="1169"/>
      <c r="K27" s="1170"/>
      <c r="L27" s="1169"/>
      <c r="M27" s="1487"/>
      <c r="N27" s="1488"/>
      <c r="O27" s="1489"/>
      <c r="P27" s="1168"/>
      <c r="Q27" s="1169"/>
      <c r="R27" s="1170"/>
      <c r="S27" s="1172"/>
      <c r="T27" s="1168"/>
      <c r="U27" s="1169"/>
      <c r="V27" s="1170"/>
      <c r="W27" s="1172"/>
      <c r="X27" s="1179"/>
      <c r="Y27" s="1174">
        <f t="shared" si="23"/>
        <v>0</v>
      </c>
      <c r="Z27" s="1175">
        <f t="shared" si="11"/>
        <v>0</v>
      </c>
      <c r="AA27" s="1176">
        <f t="shared" si="24"/>
        <v>0</v>
      </c>
      <c r="AB27" s="1175">
        <f t="shared" si="12"/>
        <v>0</v>
      </c>
      <c r="AC27" s="1496"/>
      <c r="AD27" s="1497"/>
      <c r="AE27" s="1497"/>
      <c r="AF27" s="1497"/>
      <c r="AG27" s="1498"/>
      <c r="AH27" s="1128" t="str">
        <f>IF(Y27=Balancesheet!C25,"","Балансын дүнгээс "&amp;Y27-Balancesheet!C25&amp;"-ээр зөрүүтэй байна")</f>
        <v/>
      </c>
    </row>
    <row r="28" spans="1:34" ht="15.75" customHeight="1">
      <c r="A28" s="1455"/>
      <c r="B28" s="1166">
        <v>15</v>
      </c>
      <c r="C28" s="1167" t="s">
        <v>172</v>
      </c>
      <c r="D28" s="1130">
        <v>16</v>
      </c>
      <c r="E28" s="1168"/>
      <c r="F28" s="1169"/>
      <c r="G28" s="1170"/>
      <c r="H28" s="1171"/>
      <c r="I28" s="1168"/>
      <c r="J28" s="1169"/>
      <c r="K28" s="1170"/>
      <c r="L28" s="1169"/>
      <c r="M28" s="1487"/>
      <c r="N28" s="1488"/>
      <c r="O28" s="1489"/>
      <c r="P28" s="1168"/>
      <c r="Q28" s="1169"/>
      <c r="R28" s="1170"/>
      <c r="S28" s="1172"/>
      <c r="T28" s="1168"/>
      <c r="U28" s="1169"/>
      <c r="V28" s="1170"/>
      <c r="W28" s="1172"/>
      <c r="X28" s="1179"/>
      <c r="Y28" s="1174">
        <f t="shared" si="23"/>
        <v>0</v>
      </c>
      <c r="Z28" s="1175">
        <f t="shared" si="11"/>
        <v>0</v>
      </c>
      <c r="AA28" s="1176">
        <f>ROUND(SUM(G28,K28,-R28,-V28),2)</f>
        <v>0</v>
      </c>
      <c r="AB28" s="1175">
        <f>+H28+L28-W28</f>
        <v>0</v>
      </c>
      <c r="AC28" s="1496"/>
      <c r="AD28" s="1497"/>
      <c r="AE28" s="1497"/>
      <c r="AF28" s="1497"/>
      <c r="AG28" s="1498"/>
      <c r="AH28" s="1128" t="str">
        <f>IF(Y28=Balancesheet!C26,"","Балансын дүнгээс "&amp;Y28-Balancesheet!C26&amp;"-ээр зөрүүтэй байна")</f>
        <v/>
      </c>
    </row>
    <row r="29" spans="1:34" ht="15.75" customHeight="1">
      <c r="A29" s="1455"/>
      <c r="B29" s="1166">
        <v>16</v>
      </c>
      <c r="C29" s="1167" t="s">
        <v>590</v>
      </c>
      <c r="D29" s="1130">
        <v>17</v>
      </c>
      <c r="E29" s="1180"/>
      <c r="F29" s="1181"/>
      <c r="G29" s="1182"/>
      <c r="H29" s="1183"/>
      <c r="I29" s="1180"/>
      <c r="J29" s="1181"/>
      <c r="K29" s="1182"/>
      <c r="L29" s="1181"/>
      <c r="M29" s="1490"/>
      <c r="N29" s="1491"/>
      <c r="O29" s="1492"/>
      <c r="P29" s="1180"/>
      <c r="Q29" s="1181"/>
      <c r="R29" s="1182"/>
      <c r="S29" s="1184"/>
      <c r="T29" s="1180"/>
      <c r="U29" s="1181"/>
      <c r="V29" s="1182"/>
      <c r="W29" s="1184"/>
      <c r="X29" s="1185"/>
      <c r="Y29" s="1186">
        <f t="shared" si="23"/>
        <v>0</v>
      </c>
      <c r="Z29" s="1187">
        <f t="shared" si="11"/>
        <v>0</v>
      </c>
      <c r="AA29" s="1188">
        <f t="shared" si="24"/>
        <v>0</v>
      </c>
      <c r="AB29" s="1189">
        <f t="shared" si="12"/>
        <v>0</v>
      </c>
      <c r="AC29" s="1499"/>
      <c r="AD29" s="1500"/>
      <c r="AE29" s="1500"/>
      <c r="AF29" s="1500"/>
      <c r="AG29" s="1501"/>
      <c r="AH29" s="1128" t="str">
        <f>IF(Y29=Balancesheet!C27,"","Балансын дүнгээс "&amp;Y29-Balancesheet!C27&amp;"-ээр зөрүүтэй байна")</f>
        <v/>
      </c>
    </row>
    <row r="30" spans="1:34" ht="15.75" thickBot="1">
      <c r="A30" s="1097"/>
      <c r="B30" s="1190">
        <v>17</v>
      </c>
      <c r="C30" s="1191" t="s">
        <v>591</v>
      </c>
      <c r="D30" s="1130">
        <v>18</v>
      </c>
      <c r="E30" s="1192"/>
      <c r="F30" s="1193"/>
      <c r="G30" s="1478" t="s">
        <v>573</v>
      </c>
      <c r="H30" s="1479"/>
      <c r="I30" s="1194"/>
      <c r="J30" s="1195"/>
      <c r="K30" s="1478" t="s">
        <v>573</v>
      </c>
      <c r="L30" s="1479"/>
      <c r="M30" s="1479"/>
      <c r="N30" s="1479"/>
      <c r="O30" s="1479"/>
      <c r="P30" s="1196"/>
      <c r="Q30" s="1197"/>
      <c r="R30" s="1478" t="s">
        <v>573</v>
      </c>
      <c r="S30" s="1479"/>
      <c r="T30" s="1196"/>
      <c r="U30" s="1197"/>
      <c r="V30" s="1478" t="s">
        <v>573</v>
      </c>
      <c r="W30" s="1479"/>
      <c r="X30" s="1198">
        <f>P30+T30</f>
        <v>0</v>
      </c>
      <c r="Y30" s="1199">
        <f>ROUND(SUM(E30,I30,-P30-T30),2)</f>
        <v>0</v>
      </c>
      <c r="Z30" s="1200">
        <f>F30+J30-Q30-U30</f>
        <v>0</v>
      </c>
      <c r="AA30" s="1456" t="s">
        <v>573</v>
      </c>
      <c r="AB30" s="1457"/>
      <c r="AC30" s="1457"/>
      <c r="AD30" s="1457"/>
      <c r="AE30" s="1457"/>
      <c r="AF30" s="1457"/>
      <c r="AG30" s="1458"/>
      <c r="AH30" s="1128" t="str">
        <f>IF(Y30=Balancesheet!C30,"","Балансын дүнгээс "&amp;Y30-Balancesheet!C30&amp;"-ээр зөрүүтэй байна")</f>
        <v/>
      </c>
    </row>
    <row r="31" spans="1:34" ht="25.5">
      <c r="A31" s="1449" t="s">
        <v>592</v>
      </c>
      <c r="B31" s="1201">
        <v>18</v>
      </c>
      <c r="C31" s="773" t="s">
        <v>593</v>
      </c>
      <c r="D31" s="1130">
        <v>19</v>
      </c>
      <c r="E31" s="1202">
        <f>+SUM(E34:E37)</f>
        <v>0</v>
      </c>
      <c r="F31" s="1203">
        <f t="shared" ref="F31" si="28">+SUM(F34:F37)</f>
        <v>0</v>
      </c>
      <c r="G31" s="1204">
        <f t="shared" ref="G31:K31" si="29">+SUM(G34:G37)</f>
        <v>0</v>
      </c>
      <c r="H31" s="1205">
        <f t="shared" ref="H31" si="30">+SUM(H34:H37)</f>
        <v>0</v>
      </c>
      <c r="I31" s="1202">
        <f t="shared" si="29"/>
        <v>0</v>
      </c>
      <c r="J31" s="1203">
        <f t="shared" ref="J31" si="31">+SUM(J34:J37)</f>
        <v>0</v>
      </c>
      <c r="K31" s="1204">
        <f t="shared" si="29"/>
        <v>0</v>
      </c>
      <c r="L31" s="1203">
        <f t="shared" ref="L31" si="32">+SUM(L34:L37)</f>
        <v>0</v>
      </c>
      <c r="M31" s="1204" t="str">
        <f>IFERROR(AVERAGE(M34:M37),"")</f>
        <v/>
      </c>
      <c r="N31" s="1206">
        <f>+SUM(N34:N37)</f>
        <v>0</v>
      </c>
      <c r="O31" s="1207" t="e">
        <f>(I34*O34+I35*O35+I36*O36+I37*O37)/I31</f>
        <v>#DIV/0!</v>
      </c>
      <c r="P31" s="1202">
        <f t="shared" ref="P31:W31" si="33">+SUM(P34:P37)</f>
        <v>0</v>
      </c>
      <c r="Q31" s="1203">
        <f t="shared" ref="Q31" si="34">+SUM(Q34:Q37)</f>
        <v>0</v>
      </c>
      <c r="R31" s="1204">
        <f t="shared" si="33"/>
        <v>0</v>
      </c>
      <c r="S31" s="1208">
        <f t="shared" ref="S31" si="35">+SUM(S34:S37)</f>
        <v>0</v>
      </c>
      <c r="T31" s="1202">
        <f t="shared" si="33"/>
        <v>0</v>
      </c>
      <c r="U31" s="1203">
        <f t="shared" ref="U31" si="36">+SUM(U34:U37)</f>
        <v>0</v>
      </c>
      <c r="V31" s="1204">
        <f t="shared" si="33"/>
        <v>0</v>
      </c>
      <c r="W31" s="1203">
        <f t="shared" si="33"/>
        <v>0</v>
      </c>
      <c r="X31" s="1446" t="s">
        <v>573</v>
      </c>
      <c r="Y31" s="1202">
        <f t="shared" si="23"/>
        <v>0</v>
      </c>
      <c r="Z31" s="1209">
        <f t="shared" si="11"/>
        <v>0</v>
      </c>
      <c r="AA31" s="1210">
        <f t="shared" ref="AA31:AA94" si="37">ROUND(SUM(G31,K31,-R31,-V31),2)</f>
        <v>0</v>
      </c>
      <c r="AB31" s="1211">
        <f t="shared" ref="AB31:AB94" si="38">+H31+L31-W31</f>
        <v>0</v>
      </c>
      <c r="AC31" s="1212" t="str">
        <f>IFERROR(AVERAGE(AC34:AC37),"")</f>
        <v/>
      </c>
      <c r="AD31" s="1213">
        <f>+SUM(AD34:AD37)</f>
        <v>0</v>
      </c>
      <c r="AE31" s="1207" t="e">
        <f>(Y34*AE34+Y35*AE35+Y36*AE36+Y37*AE37)/Y31</f>
        <v>#DIV/0!</v>
      </c>
      <c r="AF31" s="1214">
        <f>+MAX(AF32:AF37)</f>
        <v>0</v>
      </c>
      <c r="AG31" s="1215">
        <f t="array" ref="AG31">+MIN(IF(AG34:AG37&gt;0,AG34:AG37))</f>
        <v>0</v>
      </c>
      <c r="AH31" s="1163" t="str">
        <f>IF(SUM(Y34:Y37)&gt;0,IF(SUM(Z34:Z37)=0,"Зээлдэгчийн тоог бүрэн шивнэ үү.",""),"")</f>
        <v/>
      </c>
    </row>
    <row r="32" spans="1:34">
      <c r="A32" s="1441"/>
      <c r="B32" s="1216">
        <v>1</v>
      </c>
      <c r="C32" s="774" t="s">
        <v>594</v>
      </c>
      <c r="D32" s="1130">
        <v>20</v>
      </c>
      <c r="E32" s="1217"/>
      <c r="F32" s="1218"/>
      <c r="G32" s="1219"/>
      <c r="H32" s="1220"/>
      <c r="I32" s="1221"/>
      <c r="J32" s="1218"/>
      <c r="K32" s="1219"/>
      <c r="L32" s="1218"/>
      <c r="M32" s="1222"/>
      <c r="N32" s="1223">
        <f t="shared" ref="N32:N95" si="39">+I32*O32</f>
        <v>0</v>
      </c>
      <c r="O32" s="1224"/>
      <c r="P32" s="1225"/>
      <c r="Q32" s="1218"/>
      <c r="R32" s="1219"/>
      <c r="S32" s="1220"/>
      <c r="T32" s="1221"/>
      <c r="U32" s="1218"/>
      <c r="V32" s="1219"/>
      <c r="W32" s="1218"/>
      <c r="X32" s="1447"/>
      <c r="Y32" s="1226">
        <f t="shared" si="23"/>
        <v>0</v>
      </c>
      <c r="Z32" s="1227">
        <f t="shared" si="11"/>
        <v>0</v>
      </c>
      <c r="AA32" s="1228">
        <f t="shared" si="37"/>
        <v>0</v>
      </c>
      <c r="AB32" s="1227">
        <f t="shared" si="38"/>
        <v>0</v>
      </c>
      <c r="AC32" s="1229"/>
      <c r="AD32" s="1230">
        <f t="shared" ref="AD32:AD95" si="40">+Y32*AE32</f>
        <v>0</v>
      </c>
      <c r="AE32" s="1231"/>
      <c r="AF32" s="1231"/>
      <c r="AG32" s="1232"/>
      <c r="AH32" s="1163" t="str">
        <f>IF(I33&gt;0,IF(AND(O33&gt;0,O33&lt;0.15,AE33&gt;0,AE33&lt;0.15,AF33&gt;0,AF33&lt;0.15,AG33&gt;0,AG33&lt;0.15),"","ЗЖДХ болон дээд хүүг сараар шивнэ үү."),"")</f>
        <v/>
      </c>
    </row>
    <row r="33" spans="1:34">
      <c r="A33" s="1441"/>
      <c r="B33" s="1129">
        <v>2</v>
      </c>
      <c r="C33" s="775" t="s">
        <v>595</v>
      </c>
      <c r="D33" s="1130">
        <v>21</v>
      </c>
      <c r="E33" s="1168"/>
      <c r="F33" s="1177"/>
      <c r="G33" s="1170"/>
      <c r="H33" s="1172"/>
      <c r="I33" s="1233"/>
      <c r="J33" s="1177"/>
      <c r="K33" s="1170"/>
      <c r="L33" s="1177"/>
      <c r="M33" s="1234"/>
      <c r="N33" s="1235">
        <f t="shared" si="39"/>
        <v>0</v>
      </c>
      <c r="O33" s="1236"/>
      <c r="P33" s="1237"/>
      <c r="Q33" s="1177"/>
      <c r="R33" s="1170"/>
      <c r="S33" s="1172"/>
      <c r="T33" s="1233"/>
      <c r="U33" s="1177"/>
      <c r="V33" s="1170"/>
      <c r="W33" s="1177"/>
      <c r="X33" s="1447"/>
      <c r="Y33" s="1238">
        <f t="shared" si="23"/>
        <v>0</v>
      </c>
      <c r="Z33" s="1132">
        <f t="shared" si="11"/>
        <v>0</v>
      </c>
      <c r="AA33" s="1133">
        <f t="shared" si="37"/>
        <v>0</v>
      </c>
      <c r="AB33" s="1132">
        <f t="shared" si="38"/>
        <v>0</v>
      </c>
      <c r="AC33" s="1239"/>
      <c r="AD33" s="1240">
        <f t="shared" si="40"/>
        <v>0</v>
      </c>
      <c r="AE33" s="1241"/>
      <c r="AF33" s="1241"/>
      <c r="AG33" s="1242"/>
      <c r="AH33" s="1163" t="str">
        <f>IF(I34&gt;0,IF(AND(O34&gt;0,O34&lt;0.15,AE34&gt;0,AE34&lt;0.15,AF34&gt;0,AF34&lt;0.15,AG34&gt;0,AG34&lt;0.15),"","ЗЖДХ болон дээд хүүг сараар шивнэ үү."),"")</f>
        <v/>
      </c>
    </row>
    <row r="34" spans="1:34">
      <c r="A34" s="1441"/>
      <c r="B34" s="1129">
        <v>3</v>
      </c>
      <c r="C34" s="775" t="s">
        <v>163</v>
      </c>
      <c r="D34" s="1130">
        <v>22</v>
      </c>
      <c r="E34" s="1168"/>
      <c r="F34" s="1177"/>
      <c r="G34" s="1170"/>
      <c r="H34" s="1172"/>
      <c r="I34" s="1233"/>
      <c r="J34" s="1177"/>
      <c r="K34" s="1170"/>
      <c r="L34" s="1177"/>
      <c r="M34" s="1234"/>
      <c r="N34" s="1235">
        <f>+I34*O34</f>
        <v>0</v>
      </c>
      <c r="O34" s="1236"/>
      <c r="P34" s="1237"/>
      <c r="Q34" s="1177"/>
      <c r="R34" s="1170"/>
      <c r="S34" s="1172"/>
      <c r="T34" s="1233"/>
      <c r="U34" s="1177"/>
      <c r="V34" s="1170"/>
      <c r="W34" s="1177"/>
      <c r="X34" s="1447"/>
      <c r="Y34" s="1238">
        <f t="shared" si="23"/>
        <v>0</v>
      </c>
      <c r="Z34" s="1132">
        <f t="shared" si="11"/>
        <v>0</v>
      </c>
      <c r="AA34" s="1133">
        <f t="shared" si="37"/>
        <v>0</v>
      </c>
      <c r="AB34" s="1132">
        <f t="shared" si="38"/>
        <v>0</v>
      </c>
      <c r="AC34" s="1239"/>
      <c r="AD34" s="1240">
        <f t="shared" si="40"/>
        <v>0</v>
      </c>
      <c r="AE34" s="1241"/>
      <c r="AF34" s="1241"/>
      <c r="AG34" s="1242"/>
      <c r="AH34" s="1163" t="str">
        <f>IF(I35&gt;0,IF(AND(O35&gt;0,O35&lt;0.15,AE35&gt;0,AE35&lt;0.15,AF35&gt;0,AF35&lt;0.15,AG35&gt;0,AG35&lt;0.15),"","ЗЖДХ болон дээд хүүг сараар шивнэ үү."),"")</f>
        <v/>
      </c>
    </row>
    <row r="35" spans="1:34">
      <c r="A35" s="1441"/>
      <c r="B35" s="1129">
        <v>4</v>
      </c>
      <c r="C35" s="1144" t="s">
        <v>574</v>
      </c>
      <c r="D35" s="1130">
        <v>23</v>
      </c>
      <c r="E35" s="1168"/>
      <c r="F35" s="1177"/>
      <c r="G35" s="1170"/>
      <c r="H35" s="1172"/>
      <c r="I35" s="1233"/>
      <c r="J35" s="1177"/>
      <c r="K35" s="1170"/>
      <c r="L35" s="1177"/>
      <c r="M35" s="1234"/>
      <c r="N35" s="1235">
        <f>+I35*O35</f>
        <v>0</v>
      </c>
      <c r="O35" s="1236"/>
      <c r="P35" s="1237"/>
      <c r="Q35" s="1177"/>
      <c r="R35" s="1170"/>
      <c r="S35" s="1172"/>
      <c r="T35" s="1233"/>
      <c r="U35" s="1177"/>
      <c r="V35" s="1170"/>
      <c r="W35" s="1177"/>
      <c r="X35" s="1447"/>
      <c r="Y35" s="1238">
        <f t="shared" si="23"/>
        <v>0</v>
      </c>
      <c r="Z35" s="1132">
        <f t="shared" si="11"/>
        <v>0</v>
      </c>
      <c r="AA35" s="1133">
        <f t="shared" si="37"/>
        <v>0</v>
      </c>
      <c r="AB35" s="1132">
        <f t="shared" si="38"/>
        <v>0</v>
      </c>
      <c r="AC35" s="1239"/>
      <c r="AD35" s="1240">
        <f t="shared" si="40"/>
        <v>0</v>
      </c>
      <c r="AE35" s="1241"/>
      <c r="AF35" s="1241"/>
      <c r="AG35" s="1242"/>
      <c r="AH35" s="1163" t="str">
        <f>IF(I36&gt;0,IF(AND(O36&gt;0,O36&lt;0.15,AE36&gt;0,AE36&lt;0.15,AF36&gt;0,AF36&lt;0.15,AG36&gt;0,AG36&lt;0.15),"","ЗЖДХ болон дээд хүүг сараар шивнэ үү."),"")</f>
        <v/>
      </c>
    </row>
    <row r="36" spans="1:34">
      <c r="A36" s="1441"/>
      <c r="B36" s="1129">
        <v>5</v>
      </c>
      <c r="C36" s="1144" t="s">
        <v>575</v>
      </c>
      <c r="D36" s="1130">
        <v>24</v>
      </c>
      <c r="E36" s="1168"/>
      <c r="F36" s="1177"/>
      <c r="G36" s="1170"/>
      <c r="H36" s="1172"/>
      <c r="I36" s="1233"/>
      <c r="J36" s="1177"/>
      <c r="K36" s="1170"/>
      <c r="L36" s="1177"/>
      <c r="M36" s="1234"/>
      <c r="N36" s="1235">
        <f t="shared" si="39"/>
        <v>0</v>
      </c>
      <c r="O36" s="1236"/>
      <c r="P36" s="1237"/>
      <c r="Q36" s="1177"/>
      <c r="R36" s="1170"/>
      <c r="S36" s="1172"/>
      <c r="T36" s="1233"/>
      <c r="U36" s="1177"/>
      <c r="V36" s="1170"/>
      <c r="W36" s="1177"/>
      <c r="X36" s="1447"/>
      <c r="Y36" s="1238">
        <f t="shared" si="23"/>
        <v>0</v>
      </c>
      <c r="Z36" s="1132">
        <f t="shared" si="11"/>
        <v>0</v>
      </c>
      <c r="AA36" s="1133">
        <f t="shared" si="37"/>
        <v>0</v>
      </c>
      <c r="AB36" s="1132">
        <f t="shared" si="38"/>
        <v>0</v>
      </c>
      <c r="AC36" s="1239"/>
      <c r="AD36" s="1240">
        <f t="shared" si="40"/>
        <v>0</v>
      </c>
      <c r="AE36" s="1241"/>
      <c r="AF36" s="1241"/>
      <c r="AG36" s="1242"/>
      <c r="AH36" s="1163" t="str">
        <f>IF(I37&gt;0,IF(AND(O37&gt;0,O37&lt;0.15,AE37&gt;0,AE37&lt;0.15,AF37&gt;0,AF37&lt;0.15,AG37&gt;0,AG37&lt;0.15),"","ЗЖДХ болон дээд хүүг сараар шивнэ үү."),"")</f>
        <v/>
      </c>
    </row>
    <row r="37" spans="1:34">
      <c r="A37" s="1450"/>
      <c r="B37" s="1243">
        <v>6</v>
      </c>
      <c r="C37" s="1244" t="s">
        <v>576</v>
      </c>
      <c r="D37" s="1130">
        <v>25</v>
      </c>
      <c r="E37" s="1245"/>
      <c r="F37" s="1246"/>
      <c r="G37" s="1173"/>
      <c r="H37" s="1247"/>
      <c r="I37" s="1248"/>
      <c r="J37" s="1246"/>
      <c r="K37" s="1173"/>
      <c r="L37" s="1246"/>
      <c r="M37" s="1249"/>
      <c r="N37" s="1250">
        <f t="shared" si="39"/>
        <v>0</v>
      </c>
      <c r="O37" s="1251"/>
      <c r="P37" s="1252"/>
      <c r="Q37" s="1246"/>
      <c r="R37" s="1173"/>
      <c r="S37" s="1247"/>
      <c r="T37" s="1248"/>
      <c r="U37" s="1246"/>
      <c r="V37" s="1173"/>
      <c r="W37" s="1246"/>
      <c r="X37" s="1447"/>
      <c r="Y37" s="1253">
        <f t="shared" si="23"/>
        <v>0</v>
      </c>
      <c r="Z37" s="1254">
        <f t="shared" si="11"/>
        <v>0</v>
      </c>
      <c r="AA37" s="1255">
        <f t="shared" si="37"/>
        <v>0</v>
      </c>
      <c r="AB37" s="1254">
        <f t="shared" si="38"/>
        <v>0</v>
      </c>
      <c r="AC37" s="1256"/>
      <c r="AD37" s="1257">
        <f t="shared" si="40"/>
        <v>0</v>
      </c>
      <c r="AE37" s="1258"/>
      <c r="AF37" s="1258"/>
      <c r="AG37" s="1259"/>
      <c r="AH37" s="1163"/>
    </row>
    <row r="38" spans="1:34">
      <c r="A38" s="1451" t="s">
        <v>596</v>
      </c>
      <c r="B38" s="1260">
        <v>19</v>
      </c>
      <c r="C38" s="777" t="s">
        <v>597</v>
      </c>
      <c r="D38" s="1130">
        <v>26</v>
      </c>
      <c r="E38" s="1261">
        <f>+SUM(E39:E42)</f>
        <v>0</v>
      </c>
      <c r="F38" s="1262">
        <f t="shared" ref="F38" si="41">+SUM(F39:F42)</f>
        <v>0</v>
      </c>
      <c r="G38" s="1263">
        <f t="shared" ref="G38:W38" si="42">+SUM(G39:G42)</f>
        <v>0</v>
      </c>
      <c r="H38" s="1264">
        <f t="shared" ref="H38" si="43">+SUM(H39:H42)</f>
        <v>0</v>
      </c>
      <c r="I38" s="1261">
        <f t="shared" si="42"/>
        <v>0</v>
      </c>
      <c r="J38" s="1262">
        <f t="shared" ref="J38" si="44">+SUM(J39:J42)</f>
        <v>0</v>
      </c>
      <c r="K38" s="1263">
        <f t="shared" si="42"/>
        <v>0</v>
      </c>
      <c r="L38" s="1262">
        <f t="shared" ref="L38" si="45">+SUM(L39:L42)</f>
        <v>0</v>
      </c>
      <c r="M38" s="1265" t="str">
        <f>IFERROR(AVERAGE(M39:M42),"")</f>
        <v/>
      </c>
      <c r="N38" s="1266">
        <f t="shared" ref="N38" si="46">+SUM(N39:N42)</f>
        <v>0</v>
      </c>
      <c r="O38" s="1267" t="e">
        <f>(I39*O39+I40*O40+I41*O41+I42*O42)/I38</f>
        <v>#DIV/0!</v>
      </c>
      <c r="P38" s="1261">
        <f t="shared" si="42"/>
        <v>0</v>
      </c>
      <c r="Q38" s="1262">
        <f t="shared" ref="Q38" si="47">+SUM(Q39:Q42)</f>
        <v>0</v>
      </c>
      <c r="R38" s="1263">
        <f t="shared" si="42"/>
        <v>0</v>
      </c>
      <c r="S38" s="1264">
        <f t="shared" ref="S38" si="48">+SUM(S39:S42)</f>
        <v>0</v>
      </c>
      <c r="T38" s="1261">
        <f t="shared" si="42"/>
        <v>0</v>
      </c>
      <c r="U38" s="1262">
        <f t="shared" ref="U38" si="49">+SUM(U39:U42)</f>
        <v>0</v>
      </c>
      <c r="V38" s="1263">
        <f t="shared" si="42"/>
        <v>0</v>
      </c>
      <c r="W38" s="1262">
        <f t="shared" si="42"/>
        <v>0</v>
      </c>
      <c r="X38" s="1447"/>
      <c r="Y38" s="1261">
        <f t="shared" si="23"/>
        <v>0</v>
      </c>
      <c r="Z38" s="1268">
        <f t="shared" si="11"/>
        <v>0</v>
      </c>
      <c r="AA38" s="1263">
        <f t="shared" si="37"/>
        <v>0</v>
      </c>
      <c r="AB38" s="1268">
        <f t="shared" si="38"/>
        <v>0</v>
      </c>
      <c r="AC38" s="1212" t="str">
        <f>IFERROR(AVERAGE(AC39:AC42),"")</f>
        <v/>
      </c>
      <c r="AD38" s="1269">
        <f t="shared" ref="AD38" si="50">+SUM(AD39:AD42)</f>
        <v>0</v>
      </c>
      <c r="AE38" s="1270" t="e">
        <f>(Y39*AE39+Y40*AE40+Y41*AE41+Y42*AE42)/Y38</f>
        <v>#DIV/0!</v>
      </c>
      <c r="AF38" s="1271">
        <f>+MAX(AF39:AF42)</f>
        <v>0</v>
      </c>
      <c r="AG38" s="1272">
        <f t="array" ref="AG38">+MIN(IF(AG39:AG42&gt;0,AG39:AG42))</f>
        <v>0</v>
      </c>
      <c r="AH38" s="1163" t="str">
        <f>IF(SUM(Y39:Y42)&gt;0,IF(SUM(Z39:Z42)=0,"Зээлдэгчийн тоог бүрэн шивнэ үү.",""),"")</f>
        <v/>
      </c>
    </row>
    <row r="39" spans="1:34">
      <c r="A39" s="1441"/>
      <c r="B39" s="1273">
        <v>1</v>
      </c>
      <c r="C39" s="774" t="s">
        <v>163</v>
      </c>
      <c r="D39" s="1130">
        <v>27</v>
      </c>
      <c r="E39" s="1217"/>
      <c r="F39" s="1218"/>
      <c r="G39" s="1219"/>
      <c r="H39" s="1220"/>
      <c r="I39" s="1274"/>
      <c r="J39" s="1218"/>
      <c r="K39" s="1219"/>
      <c r="L39" s="1218"/>
      <c r="M39" s="1275"/>
      <c r="N39" s="1276">
        <f t="shared" si="39"/>
        <v>0</v>
      </c>
      <c r="O39" s="1277"/>
      <c r="P39" s="1278"/>
      <c r="Q39" s="1218"/>
      <c r="R39" s="1219"/>
      <c r="S39" s="1220"/>
      <c r="T39" s="1274"/>
      <c r="U39" s="1218"/>
      <c r="V39" s="1219"/>
      <c r="W39" s="1218"/>
      <c r="X39" s="1447"/>
      <c r="Y39" s="1279">
        <f t="shared" si="23"/>
        <v>0</v>
      </c>
      <c r="Z39" s="1280">
        <f t="shared" si="11"/>
        <v>0</v>
      </c>
      <c r="AA39" s="1281">
        <f t="shared" si="37"/>
        <v>0</v>
      </c>
      <c r="AB39" s="1280">
        <f t="shared" si="38"/>
        <v>0</v>
      </c>
      <c r="AC39" s="1282"/>
      <c r="AD39" s="1283">
        <f t="shared" si="40"/>
        <v>0</v>
      </c>
      <c r="AE39" s="1284"/>
      <c r="AF39" s="1284"/>
      <c r="AG39" s="1285"/>
      <c r="AH39" s="1163" t="str">
        <f>IF(I39&gt;0,IF(AND(O39&gt;0,O39&lt;0.15,AE39&gt;0,AE39&lt;0.15,AF39&gt;0,AF39&lt;0.15,AG39&gt;0,AG39&lt;0.15),"","ЗЖДХ болон дээд хүүг сараар шивнэ үү."),"")</f>
        <v/>
      </c>
    </row>
    <row r="40" spans="1:34">
      <c r="A40" s="1441"/>
      <c r="B40" s="1166">
        <v>2</v>
      </c>
      <c r="C40" s="1144" t="s">
        <v>574</v>
      </c>
      <c r="D40" s="1130">
        <v>28</v>
      </c>
      <c r="E40" s="1168"/>
      <c r="F40" s="1177"/>
      <c r="G40" s="1170"/>
      <c r="H40" s="1172"/>
      <c r="I40" s="1286"/>
      <c r="J40" s="1177"/>
      <c r="K40" s="1170"/>
      <c r="L40" s="1177"/>
      <c r="M40" s="1287"/>
      <c r="N40" s="1288">
        <f t="shared" si="39"/>
        <v>0</v>
      </c>
      <c r="O40" s="1289"/>
      <c r="P40" s="1290"/>
      <c r="Q40" s="1177"/>
      <c r="R40" s="1170"/>
      <c r="S40" s="1172"/>
      <c r="T40" s="1286"/>
      <c r="U40" s="1177"/>
      <c r="V40" s="1170"/>
      <c r="W40" s="1177"/>
      <c r="X40" s="1447"/>
      <c r="Y40" s="1291">
        <f t="shared" si="23"/>
        <v>0</v>
      </c>
      <c r="Z40" s="1175">
        <f t="shared" si="11"/>
        <v>0</v>
      </c>
      <c r="AA40" s="1176">
        <f t="shared" si="37"/>
        <v>0</v>
      </c>
      <c r="AB40" s="1175">
        <f t="shared" si="38"/>
        <v>0</v>
      </c>
      <c r="AC40" s="1292"/>
      <c r="AD40" s="1293">
        <f t="shared" si="40"/>
        <v>0</v>
      </c>
      <c r="AE40" s="1294"/>
      <c r="AF40" s="1294"/>
      <c r="AG40" s="1295"/>
      <c r="AH40" s="1163" t="str">
        <f>IF(I40&gt;0,IF(AND(O40&gt;0,O40&lt;0.15,AE40&gt;0,AE40&lt;0.15,AF40&gt;0,AF40&lt;0.15,AG40&gt;0,AG40&lt;0.15),"","ЗЖДХ болон дээд хүүг сараар шивнэ үү."),"")</f>
        <v/>
      </c>
    </row>
    <row r="41" spans="1:34">
      <c r="A41" s="1441"/>
      <c r="B41" s="1166">
        <v>3</v>
      </c>
      <c r="C41" s="1144" t="s">
        <v>575</v>
      </c>
      <c r="D41" s="1130">
        <v>29</v>
      </c>
      <c r="E41" s="1168"/>
      <c r="F41" s="1177"/>
      <c r="G41" s="1170"/>
      <c r="H41" s="1172"/>
      <c r="I41" s="1286"/>
      <c r="J41" s="1177"/>
      <c r="K41" s="1170"/>
      <c r="L41" s="1177"/>
      <c r="M41" s="1287"/>
      <c r="N41" s="1288">
        <f t="shared" si="39"/>
        <v>0</v>
      </c>
      <c r="O41" s="1289"/>
      <c r="P41" s="1290"/>
      <c r="Q41" s="1177"/>
      <c r="R41" s="1170"/>
      <c r="S41" s="1172"/>
      <c r="T41" s="1286"/>
      <c r="U41" s="1177"/>
      <c r="V41" s="1170"/>
      <c r="W41" s="1177"/>
      <c r="X41" s="1447"/>
      <c r="Y41" s="1291">
        <f t="shared" si="23"/>
        <v>0</v>
      </c>
      <c r="Z41" s="1175">
        <f t="shared" si="11"/>
        <v>0</v>
      </c>
      <c r="AA41" s="1176">
        <f t="shared" si="37"/>
        <v>0</v>
      </c>
      <c r="AB41" s="1175">
        <f t="shared" si="38"/>
        <v>0</v>
      </c>
      <c r="AC41" s="1292"/>
      <c r="AD41" s="1293">
        <f t="shared" si="40"/>
        <v>0</v>
      </c>
      <c r="AE41" s="1294"/>
      <c r="AF41" s="1294"/>
      <c r="AG41" s="1295"/>
      <c r="AH41" s="1163" t="str">
        <f>IF(I41&gt;0,IF(AND(O41&gt;0,O41&lt;0.15,AE41&gt;0,AE41&lt;0.15,AF41&gt;0,AF41&lt;0.15,AG41&gt;0,AG41&lt;0.15),"","ЗЖДХ болон дээд хүүг сараар шивнэ үү."),"")</f>
        <v/>
      </c>
    </row>
    <row r="42" spans="1:34">
      <c r="A42" s="1441"/>
      <c r="B42" s="1296">
        <v>4</v>
      </c>
      <c r="C42" s="1244" t="s">
        <v>576</v>
      </c>
      <c r="D42" s="1130">
        <v>30</v>
      </c>
      <c r="E42" s="1245"/>
      <c r="F42" s="1246"/>
      <c r="G42" s="1173"/>
      <c r="H42" s="1247"/>
      <c r="I42" s="1297"/>
      <c r="J42" s="1246"/>
      <c r="K42" s="1173"/>
      <c r="L42" s="1246"/>
      <c r="M42" s="1298"/>
      <c r="N42" s="1299">
        <f t="shared" si="39"/>
        <v>0</v>
      </c>
      <c r="O42" s="1300"/>
      <c r="P42" s="1301"/>
      <c r="Q42" s="1246"/>
      <c r="R42" s="1173"/>
      <c r="S42" s="1247"/>
      <c r="T42" s="1297"/>
      <c r="U42" s="1246"/>
      <c r="V42" s="1173"/>
      <c r="W42" s="1246"/>
      <c r="X42" s="1447"/>
      <c r="Y42" s="1302">
        <f t="shared" si="23"/>
        <v>0</v>
      </c>
      <c r="Z42" s="1189">
        <f t="shared" si="11"/>
        <v>0</v>
      </c>
      <c r="AA42" s="1188">
        <f t="shared" si="37"/>
        <v>0</v>
      </c>
      <c r="AB42" s="1189">
        <f t="shared" si="38"/>
        <v>0</v>
      </c>
      <c r="AC42" s="1303"/>
      <c r="AD42" s="1304">
        <f t="shared" si="40"/>
        <v>0</v>
      </c>
      <c r="AE42" s="1305"/>
      <c r="AF42" s="1305"/>
      <c r="AG42" s="1306"/>
      <c r="AH42" s="1163" t="str">
        <f>IF(I42&gt;0,IF(AND(O42&gt;0,O42&lt;0.15,AE42&gt;0,AE42&lt;0.15,AF42&gt;0,AF42&lt;0.15,AG42&gt;0,AG42&lt;0.15),"","ЗЖДХ болон дээд хүүг сараар шивнэ үү."),"")</f>
        <v/>
      </c>
    </row>
    <row r="43" spans="1:34">
      <c r="A43" s="1441" t="s">
        <v>598</v>
      </c>
      <c r="B43" s="1307">
        <v>20</v>
      </c>
      <c r="C43" s="1308" t="s">
        <v>599</v>
      </c>
      <c r="D43" s="1130">
        <v>31</v>
      </c>
      <c r="E43" s="1261">
        <f t="shared" ref="E43:W43" si="51">+SUM(E44:E47)</f>
        <v>0</v>
      </c>
      <c r="F43" s="1262">
        <f t="shared" ref="F43" si="52">+SUM(F44:F47)</f>
        <v>0</v>
      </c>
      <c r="G43" s="1263">
        <f t="shared" si="51"/>
        <v>0</v>
      </c>
      <c r="H43" s="1264">
        <f t="shared" ref="H43" si="53">+SUM(H44:H47)</f>
        <v>0</v>
      </c>
      <c r="I43" s="1261">
        <f t="shared" si="51"/>
        <v>0</v>
      </c>
      <c r="J43" s="1262">
        <f t="shared" ref="J43" si="54">+SUM(J44:J47)</f>
        <v>0</v>
      </c>
      <c r="K43" s="1263">
        <f t="shared" si="51"/>
        <v>0</v>
      </c>
      <c r="L43" s="1262">
        <f t="shared" ref="L43" si="55">+SUM(L44:L47)</f>
        <v>0</v>
      </c>
      <c r="M43" s="1263" t="str">
        <f>IFERROR(AVERAGE(M44:M47),"")</f>
        <v/>
      </c>
      <c r="N43" s="1265">
        <f t="shared" ref="N43" si="56">+SUM(N44:N47)</f>
        <v>0</v>
      </c>
      <c r="O43" s="1309" t="e">
        <f>(I44*O44+I45*O45+I46*O46+I47*O47)/I43</f>
        <v>#DIV/0!</v>
      </c>
      <c r="P43" s="1261">
        <f t="shared" si="51"/>
        <v>0</v>
      </c>
      <c r="Q43" s="1262">
        <f t="shared" ref="Q43" si="57">+SUM(Q44:Q47)</f>
        <v>0</v>
      </c>
      <c r="R43" s="1263">
        <f t="shared" si="51"/>
        <v>0</v>
      </c>
      <c r="S43" s="1264">
        <f t="shared" ref="S43" si="58">+SUM(S44:S47)</f>
        <v>0</v>
      </c>
      <c r="T43" s="1261">
        <f t="shared" si="51"/>
        <v>0</v>
      </c>
      <c r="U43" s="1262">
        <f t="shared" ref="U43" si="59">+SUM(U44:U47)</f>
        <v>0</v>
      </c>
      <c r="V43" s="1263">
        <f t="shared" si="51"/>
        <v>0</v>
      </c>
      <c r="W43" s="1262">
        <f t="shared" si="51"/>
        <v>0</v>
      </c>
      <c r="X43" s="1447"/>
      <c r="Y43" s="1261">
        <f t="shared" si="23"/>
        <v>0</v>
      </c>
      <c r="Z43" s="1268">
        <f t="shared" si="11"/>
        <v>0</v>
      </c>
      <c r="AA43" s="1263">
        <f t="shared" si="37"/>
        <v>0</v>
      </c>
      <c r="AB43" s="1268">
        <f t="shared" si="38"/>
        <v>0</v>
      </c>
      <c r="AC43" s="1212" t="str">
        <f>IFERROR(AVERAGE(AC44:AC47),"")</f>
        <v/>
      </c>
      <c r="AD43" s="1269">
        <f t="shared" ref="AD43" si="60">+SUM(AD44:AD47)</f>
        <v>0</v>
      </c>
      <c r="AE43" s="1270" t="e">
        <f>(Y44*AE44+Y45*AE45+Y46*AE46+Y47*AE47)/Y43</f>
        <v>#DIV/0!</v>
      </c>
      <c r="AF43" s="1271">
        <f>+MAX(AF44:AF47)</f>
        <v>0</v>
      </c>
      <c r="AG43" s="1272">
        <f t="array" ref="AG43">+MIN(IF(AG44:AG47&gt;0,AG44:AG47))</f>
        <v>0</v>
      </c>
      <c r="AH43" s="1163" t="str">
        <f>IF(SUM(Y44:Y47)&gt;0,IF(SUM(Z44:Z47)=0,"Зээлдэгчийн тоог бүрэн шивнэ үү.",""),"")</f>
        <v/>
      </c>
    </row>
    <row r="44" spans="1:34">
      <c r="A44" s="1441"/>
      <c r="B44" s="1273">
        <v>1</v>
      </c>
      <c r="C44" s="774" t="s">
        <v>163</v>
      </c>
      <c r="D44" s="1130">
        <v>32</v>
      </c>
      <c r="E44" s="1217"/>
      <c r="F44" s="1218"/>
      <c r="G44" s="1219"/>
      <c r="H44" s="1220"/>
      <c r="I44" s="1274"/>
      <c r="J44" s="1218"/>
      <c r="K44" s="1219"/>
      <c r="L44" s="1218"/>
      <c r="M44" s="1275"/>
      <c r="N44" s="1276">
        <f t="shared" si="39"/>
        <v>0</v>
      </c>
      <c r="O44" s="1277"/>
      <c r="P44" s="1278"/>
      <c r="Q44" s="1218"/>
      <c r="R44" s="1219"/>
      <c r="S44" s="1220"/>
      <c r="T44" s="1274"/>
      <c r="U44" s="1218"/>
      <c r="V44" s="1219"/>
      <c r="W44" s="1218"/>
      <c r="X44" s="1447"/>
      <c r="Y44" s="1279">
        <f t="shared" si="23"/>
        <v>0</v>
      </c>
      <c r="Z44" s="1280">
        <f t="shared" si="11"/>
        <v>0</v>
      </c>
      <c r="AA44" s="1281">
        <f t="shared" si="37"/>
        <v>0</v>
      </c>
      <c r="AB44" s="1280">
        <f t="shared" si="38"/>
        <v>0</v>
      </c>
      <c r="AC44" s="1282"/>
      <c r="AD44" s="1283">
        <f t="shared" si="40"/>
        <v>0</v>
      </c>
      <c r="AE44" s="1284"/>
      <c r="AF44" s="1284"/>
      <c r="AG44" s="1285"/>
      <c r="AH44" s="1163" t="str">
        <f>IF(I44&gt;0,IF(AND(O44&gt;0,O44&lt;0.15,AE44&gt;0,AE44&lt;0.15,AF44&gt;0,AF44&lt;0.15,AG44&gt;0,AG44&lt;0.15),"","ЗЖДХ болон дээд хүүг сараар шивнэ үү."),"")</f>
        <v/>
      </c>
    </row>
    <row r="45" spans="1:34">
      <c r="A45" s="1441"/>
      <c r="B45" s="1166">
        <v>2</v>
      </c>
      <c r="C45" s="1144" t="s">
        <v>574</v>
      </c>
      <c r="D45" s="1130">
        <v>33</v>
      </c>
      <c r="E45" s="1168"/>
      <c r="F45" s="1177"/>
      <c r="G45" s="1170"/>
      <c r="H45" s="1172"/>
      <c r="I45" s="1286"/>
      <c r="J45" s="1177"/>
      <c r="K45" s="1170"/>
      <c r="L45" s="1177"/>
      <c r="M45" s="1287"/>
      <c r="N45" s="1288">
        <f t="shared" si="39"/>
        <v>0</v>
      </c>
      <c r="O45" s="1289"/>
      <c r="P45" s="1290"/>
      <c r="Q45" s="1177"/>
      <c r="R45" s="1170"/>
      <c r="S45" s="1172"/>
      <c r="T45" s="1286"/>
      <c r="U45" s="1177"/>
      <c r="V45" s="1170"/>
      <c r="W45" s="1177"/>
      <c r="X45" s="1447"/>
      <c r="Y45" s="1291">
        <f t="shared" si="23"/>
        <v>0</v>
      </c>
      <c r="Z45" s="1175">
        <f t="shared" si="11"/>
        <v>0</v>
      </c>
      <c r="AA45" s="1176">
        <f t="shared" si="37"/>
        <v>0</v>
      </c>
      <c r="AB45" s="1175">
        <f t="shared" si="38"/>
        <v>0</v>
      </c>
      <c r="AC45" s="1292"/>
      <c r="AD45" s="1293">
        <f t="shared" si="40"/>
        <v>0</v>
      </c>
      <c r="AE45" s="1294"/>
      <c r="AF45" s="1294"/>
      <c r="AG45" s="1295"/>
      <c r="AH45" s="1163" t="str">
        <f>IF(I45&gt;0,IF(AND(O45&gt;0,O45&lt;0.15,AE45&gt;0,AE45&lt;0.15,AF45&gt;0,AF45&lt;0.15,AG45&gt;0,AG45&lt;0.15),"","ЗЖДХ болон дээд хүүг сараар шивнэ үү."),"")</f>
        <v/>
      </c>
    </row>
    <row r="46" spans="1:34">
      <c r="A46" s="1441"/>
      <c r="B46" s="1166">
        <v>3</v>
      </c>
      <c r="C46" s="1144" t="s">
        <v>575</v>
      </c>
      <c r="D46" s="1130">
        <v>34</v>
      </c>
      <c r="E46" s="1168"/>
      <c r="F46" s="1177"/>
      <c r="G46" s="1170"/>
      <c r="H46" s="1172"/>
      <c r="I46" s="1286"/>
      <c r="J46" s="1177"/>
      <c r="K46" s="1170"/>
      <c r="L46" s="1177"/>
      <c r="M46" s="1287"/>
      <c r="N46" s="1288">
        <f t="shared" si="39"/>
        <v>0</v>
      </c>
      <c r="O46" s="1289"/>
      <c r="P46" s="1290"/>
      <c r="Q46" s="1177"/>
      <c r="R46" s="1170"/>
      <c r="S46" s="1172"/>
      <c r="T46" s="1286"/>
      <c r="U46" s="1177"/>
      <c r="V46" s="1170"/>
      <c r="W46" s="1177"/>
      <c r="X46" s="1447"/>
      <c r="Y46" s="1291">
        <f t="shared" si="23"/>
        <v>0</v>
      </c>
      <c r="Z46" s="1175">
        <f t="shared" si="11"/>
        <v>0</v>
      </c>
      <c r="AA46" s="1176">
        <f t="shared" si="37"/>
        <v>0</v>
      </c>
      <c r="AB46" s="1175">
        <f t="shared" si="38"/>
        <v>0</v>
      </c>
      <c r="AC46" s="1292"/>
      <c r="AD46" s="1293">
        <f t="shared" si="40"/>
        <v>0</v>
      </c>
      <c r="AE46" s="1294"/>
      <c r="AF46" s="1294"/>
      <c r="AG46" s="1295"/>
      <c r="AH46" s="1163" t="str">
        <f>IF(I46&gt;0,IF(AND(O46&gt;0,O46&lt;0.15,AE46&gt;0,AE46&lt;0.15,AF46&gt;0,AF46&lt;0.15,AG46&gt;0,AG46&lt;0.15),"","ЗЖДХ болон дээд хүүг сараар шивнэ үү."),"")</f>
        <v/>
      </c>
    </row>
    <row r="47" spans="1:34">
      <c r="A47" s="1441"/>
      <c r="B47" s="1310">
        <v>4</v>
      </c>
      <c r="C47" s="1244" t="s">
        <v>576</v>
      </c>
      <c r="D47" s="1130">
        <v>35</v>
      </c>
      <c r="E47" s="1245"/>
      <c r="F47" s="1246"/>
      <c r="G47" s="1173"/>
      <c r="H47" s="1247"/>
      <c r="I47" s="1297"/>
      <c r="J47" s="1246"/>
      <c r="K47" s="1173"/>
      <c r="L47" s="1246"/>
      <c r="M47" s="1298"/>
      <c r="N47" s="1299">
        <f t="shared" si="39"/>
        <v>0</v>
      </c>
      <c r="O47" s="1300"/>
      <c r="P47" s="1301"/>
      <c r="Q47" s="1246"/>
      <c r="R47" s="1173"/>
      <c r="S47" s="1247"/>
      <c r="T47" s="1297"/>
      <c r="U47" s="1246"/>
      <c r="V47" s="1173"/>
      <c r="W47" s="1246"/>
      <c r="X47" s="1447"/>
      <c r="Y47" s="1302">
        <f t="shared" si="23"/>
        <v>0</v>
      </c>
      <c r="Z47" s="1189">
        <f t="shared" si="11"/>
        <v>0</v>
      </c>
      <c r="AA47" s="1188">
        <f t="shared" si="37"/>
        <v>0</v>
      </c>
      <c r="AB47" s="1189">
        <f t="shared" si="38"/>
        <v>0</v>
      </c>
      <c r="AC47" s="1303"/>
      <c r="AD47" s="1304">
        <f t="shared" si="40"/>
        <v>0</v>
      </c>
      <c r="AE47" s="1305"/>
      <c r="AF47" s="1305"/>
      <c r="AG47" s="1306"/>
      <c r="AH47" s="1163" t="str">
        <f>IF(I47&gt;0,IF(AND(O47&gt;0,O47&lt;0.15,AE47&gt;0,AE47&lt;0.15,AF47&gt;0,AF47&lt;0.15,AG47&gt;0,AG47&lt;0.15),"","ЗЖДХ болон дээд хүүг сараар шивнэ үү."),"")</f>
        <v/>
      </c>
    </row>
    <row r="48" spans="1:34">
      <c r="A48" s="1440" t="s">
        <v>600</v>
      </c>
      <c r="B48" s="1311">
        <v>21</v>
      </c>
      <c r="C48" s="777" t="s">
        <v>601</v>
      </c>
      <c r="D48" s="1130">
        <v>36</v>
      </c>
      <c r="E48" s="1261">
        <f t="shared" ref="E48:W48" si="61">+SUM(E49:E52)</f>
        <v>0</v>
      </c>
      <c r="F48" s="1262">
        <f t="shared" ref="F48" si="62">+SUM(F49:F52)</f>
        <v>0</v>
      </c>
      <c r="G48" s="1263">
        <f t="shared" si="61"/>
        <v>0</v>
      </c>
      <c r="H48" s="1264">
        <f t="shared" ref="H48" si="63">+SUM(H49:H52)</f>
        <v>0</v>
      </c>
      <c r="I48" s="1261">
        <f t="shared" si="61"/>
        <v>0</v>
      </c>
      <c r="J48" s="1262">
        <f t="shared" ref="J48" si="64">+SUM(J49:J52)</f>
        <v>0</v>
      </c>
      <c r="K48" s="1263">
        <f t="shared" si="61"/>
        <v>0</v>
      </c>
      <c r="L48" s="1262">
        <f t="shared" ref="L48" si="65">+SUM(L49:L52)</f>
        <v>0</v>
      </c>
      <c r="M48" s="1263" t="str">
        <f>IFERROR(AVERAGE(M49:M52),"")</f>
        <v/>
      </c>
      <c r="N48" s="1265">
        <f t="shared" ref="N48" si="66">+SUM(N49:N52)</f>
        <v>0</v>
      </c>
      <c r="O48" s="1309" t="e">
        <f>(I49*O49+I50*O50+I51*O51+I52*O52)/I48</f>
        <v>#DIV/0!</v>
      </c>
      <c r="P48" s="1261">
        <f t="shared" si="61"/>
        <v>0</v>
      </c>
      <c r="Q48" s="1262">
        <f t="shared" ref="Q48" si="67">+SUM(Q49:Q52)</f>
        <v>0</v>
      </c>
      <c r="R48" s="1263">
        <f t="shared" si="61"/>
        <v>0</v>
      </c>
      <c r="S48" s="1264">
        <f t="shared" ref="S48" si="68">+SUM(S49:S52)</f>
        <v>0</v>
      </c>
      <c r="T48" s="1261">
        <f t="shared" si="61"/>
        <v>0</v>
      </c>
      <c r="U48" s="1262">
        <f t="shared" ref="U48" si="69">+SUM(U49:U52)</f>
        <v>0</v>
      </c>
      <c r="V48" s="1263">
        <f t="shared" si="61"/>
        <v>0</v>
      </c>
      <c r="W48" s="1262">
        <f t="shared" si="61"/>
        <v>0</v>
      </c>
      <c r="X48" s="1447"/>
      <c r="Y48" s="1261">
        <f t="shared" si="23"/>
        <v>0</v>
      </c>
      <c r="Z48" s="1268">
        <f t="shared" si="11"/>
        <v>0</v>
      </c>
      <c r="AA48" s="1263">
        <f t="shared" si="37"/>
        <v>0</v>
      </c>
      <c r="AB48" s="1268">
        <f t="shared" si="38"/>
        <v>0</v>
      </c>
      <c r="AC48" s="1212" t="str">
        <f>IFERROR(AVERAGE(AC49:AC52),"")</f>
        <v/>
      </c>
      <c r="AD48" s="1269">
        <f t="shared" ref="AD48" si="70">+SUM(AD49:AD52)</f>
        <v>0</v>
      </c>
      <c r="AE48" s="1270" t="e">
        <f>(Y49*AE49+Y50*AE50+Y51*AE51+Y52*AE52)/Y48</f>
        <v>#DIV/0!</v>
      </c>
      <c r="AF48" s="1271">
        <f>+MAX(AF49:AF52)</f>
        <v>0</v>
      </c>
      <c r="AG48" s="1272">
        <f t="array" ref="AG48">+MIN(IF(AG49:AG52&gt;0,AG49:AG52))</f>
        <v>0</v>
      </c>
      <c r="AH48" s="1163" t="str">
        <f>IF(SUM(Y49:Y52)&gt;0,IF(SUM(Z49:Z52)=0,"Зээлдэгчийн тоог бүрэн шивнэ үү.",""),"")</f>
        <v/>
      </c>
    </row>
    <row r="49" spans="1:34">
      <c r="A49" s="1441"/>
      <c r="B49" s="1273">
        <v>1</v>
      </c>
      <c r="C49" s="774" t="s">
        <v>163</v>
      </c>
      <c r="D49" s="1130">
        <v>37</v>
      </c>
      <c r="E49" s="1217"/>
      <c r="F49" s="1218"/>
      <c r="G49" s="1219"/>
      <c r="H49" s="1220"/>
      <c r="I49" s="1274"/>
      <c r="J49" s="1218"/>
      <c r="K49" s="1219"/>
      <c r="L49" s="1218"/>
      <c r="M49" s="1275"/>
      <c r="N49" s="1276">
        <f t="shared" si="39"/>
        <v>0</v>
      </c>
      <c r="O49" s="1277"/>
      <c r="P49" s="1278"/>
      <c r="Q49" s="1218"/>
      <c r="R49" s="1219"/>
      <c r="S49" s="1220"/>
      <c r="T49" s="1274"/>
      <c r="U49" s="1218"/>
      <c r="V49" s="1219"/>
      <c r="W49" s="1218"/>
      <c r="X49" s="1447"/>
      <c r="Y49" s="1279">
        <f t="shared" si="23"/>
        <v>0</v>
      </c>
      <c r="Z49" s="1280">
        <f t="shared" si="11"/>
        <v>0</v>
      </c>
      <c r="AA49" s="1281">
        <f t="shared" si="37"/>
        <v>0</v>
      </c>
      <c r="AB49" s="1280">
        <f t="shared" si="38"/>
        <v>0</v>
      </c>
      <c r="AC49" s="1282"/>
      <c r="AD49" s="1283">
        <f t="shared" si="40"/>
        <v>0</v>
      </c>
      <c r="AE49" s="1284"/>
      <c r="AF49" s="1284"/>
      <c r="AG49" s="1285"/>
      <c r="AH49" s="1163" t="str">
        <f>IF(I49&gt;0,IF(AND(O49&gt;0,O49&lt;0.15,AE49&gt;0,AE49&lt;0.15,AF49&gt;0,AF49&lt;0.15,AG49&gt;0,AG49&lt;0.15),"","ЗЖДХ болон дээд хүүг сараар шивнэ үү."),"")</f>
        <v/>
      </c>
    </row>
    <row r="50" spans="1:34">
      <c r="A50" s="1441"/>
      <c r="B50" s="1166">
        <v>2</v>
      </c>
      <c r="C50" s="1144" t="s">
        <v>574</v>
      </c>
      <c r="D50" s="1130">
        <v>38</v>
      </c>
      <c r="E50" s="1168"/>
      <c r="F50" s="1177"/>
      <c r="G50" s="1170"/>
      <c r="H50" s="1172"/>
      <c r="I50" s="1286"/>
      <c r="J50" s="1177"/>
      <c r="K50" s="1170"/>
      <c r="L50" s="1177"/>
      <c r="M50" s="1287"/>
      <c r="N50" s="1288">
        <f t="shared" si="39"/>
        <v>0</v>
      </c>
      <c r="O50" s="1289"/>
      <c r="P50" s="1290"/>
      <c r="Q50" s="1177"/>
      <c r="R50" s="1170"/>
      <c r="S50" s="1172"/>
      <c r="T50" s="1286"/>
      <c r="U50" s="1177"/>
      <c r="V50" s="1170"/>
      <c r="W50" s="1177"/>
      <c r="X50" s="1447"/>
      <c r="Y50" s="1291">
        <f t="shared" si="23"/>
        <v>0</v>
      </c>
      <c r="Z50" s="1175">
        <f t="shared" si="11"/>
        <v>0</v>
      </c>
      <c r="AA50" s="1176">
        <f t="shared" si="37"/>
        <v>0</v>
      </c>
      <c r="AB50" s="1175">
        <f t="shared" si="38"/>
        <v>0</v>
      </c>
      <c r="AC50" s="1292"/>
      <c r="AD50" s="1293">
        <f t="shared" si="40"/>
        <v>0</v>
      </c>
      <c r="AE50" s="1294"/>
      <c r="AF50" s="1294"/>
      <c r="AG50" s="1295"/>
      <c r="AH50" s="1163" t="str">
        <f>IF(I50&gt;0,IF(AND(O50&gt;0,O50&lt;0.15,AE50&gt;0,AE50&lt;0.15,AF50&gt;0,AF50&lt;0.15,AG50&gt;0,AG50&lt;0.15),"","ЗЖДХ болон дээд хүүг сараар шивнэ үү."),"")</f>
        <v/>
      </c>
    </row>
    <row r="51" spans="1:34">
      <c r="A51" s="1441"/>
      <c r="B51" s="1166">
        <v>3</v>
      </c>
      <c r="C51" s="1144" t="s">
        <v>575</v>
      </c>
      <c r="D51" s="1130">
        <v>39</v>
      </c>
      <c r="E51" s="1168"/>
      <c r="F51" s="1177"/>
      <c r="G51" s="1170"/>
      <c r="H51" s="1172"/>
      <c r="I51" s="1286"/>
      <c r="J51" s="1177"/>
      <c r="K51" s="1170"/>
      <c r="L51" s="1177"/>
      <c r="M51" s="1287"/>
      <c r="N51" s="1288">
        <f t="shared" si="39"/>
        <v>0</v>
      </c>
      <c r="O51" s="1289"/>
      <c r="P51" s="1290"/>
      <c r="Q51" s="1177"/>
      <c r="R51" s="1170"/>
      <c r="S51" s="1172"/>
      <c r="T51" s="1286"/>
      <c r="U51" s="1177"/>
      <c r="V51" s="1170"/>
      <c r="W51" s="1177"/>
      <c r="X51" s="1447"/>
      <c r="Y51" s="1291">
        <f t="shared" si="23"/>
        <v>0</v>
      </c>
      <c r="Z51" s="1175">
        <f t="shared" si="11"/>
        <v>0</v>
      </c>
      <c r="AA51" s="1176">
        <f t="shared" si="37"/>
        <v>0</v>
      </c>
      <c r="AB51" s="1175">
        <f t="shared" si="38"/>
        <v>0</v>
      </c>
      <c r="AC51" s="1292"/>
      <c r="AD51" s="1293">
        <f t="shared" si="40"/>
        <v>0</v>
      </c>
      <c r="AE51" s="1294"/>
      <c r="AF51" s="1294"/>
      <c r="AG51" s="1295"/>
      <c r="AH51" s="1163" t="str">
        <f>IF(I51&gt;0,IF(AND(O51&gt;0,O51&lt;0.15,AE51&gt;0,AE51&lt;0.15,AF51&gt;0,AF51&lt;0.15,AG51&gt;0,AG51&lt;0.15),"","ЗЖДХ болон дээд хүүг сараар шивнэ үү."),"")</f>
        <v/>
      </c>
    </row>
    <row r="52" spans="1:34">
      <c r="A52" s="1441"/>
      <c r="B52" s="1310">
        <v>4</v>
      </c>
      <c r="C52" s="1244" t="s">
        <v>576</v>
      </c>
      <c r="D52" s="1130">
        <v>40</v>
      </c>
      <c r="E52" s="1245"/>
      <c r="F52" s="1246"/>
      <c r="G52" s="1173"/>
      <c r="H52" s="1247"/>
      <c r="I52" s="1297"/>
      <c r="J52" s="1246"/>
      <c r="K52" s="1173"/>
      <c r="L52" s="1246"/>
      <c r="M52" s="1298"/>
      <c r="N52" s="1299">
        <f t="shared" si="39"/>
        <v>0</v>
      </c>
      <c r="O52" s="1300"/>
      <c r="P52" s="1301"/>
      <c r="Q52" s="1246"/>
      <c r="R52" s="1173"/>
      <c r="S52" s="1247"/>
      <c r="T52" s="1297"/>
      <c r="U52" s="1246"/>
      <c r="V52" s="1173"/>
      <c r="W52" s="1246"/>
      <c r="X52" s="1447"/>
      <c r="Y52" s="1312">
        <f t="shared" si="23"/>
        <v>0</v>
      </c>
      <c r="Z52" s="1187">
        <f t="shared" si="11"/>
        <v>0</v>
      </c>
      <c r="AA52" s="1313">
        <f t="shared" si="37"/>
        <v>0</v>
      </c>
      <c r="AB52" s="1187">
        <f t="shared" si="38"/>
        <v>0</v>
      </c>
      <c r="AC52" s="1314"/>
      <c r="AD52" s="1315">
        <f t="shared" si="40"/>
        <v>0</v>
      </c>
      <c r="AE52" s="1305"/>
      <c r="AF52" s="1316"/>
      <c r="AG52" s="1317"/>
      <c r="AH52" s="1163" t="str">
        <f>IF(I52&gt;0,IF(AND(O52&gt;0,O52&lt;0.15,AE52&gt;0,AE52&lt;0.15,AF52&gt;0,AF52&lt;0.15,AG52&gt;0,AG52&lt;0.15),"","ЗЖДХ болон дээд хүүг сараар шивнэ үү."),"")</f>
        <v/>
      </c>
    </row>
    <row r="53" spans="1:34" ht="51">
      <c r="A53" s="1440" t="s">
        <v>602</v>
      </c>
      <c r="B53" s="1311">
        <v>22</v>
      </c>
      <c r="C53" s="776" t="s">
        <v>603</v>
      </c>
      <c r="D53" s="1130">
        <v>41</v>
      </c>
      <c r="E53" s="1261">
        <f t="shared" ref="E53:W53" si="71">+SUM(E54:E57)</f>
        <v>0</v>
      </c>
      <c r="F53" s="1262">
        <f t="shared" ref="F53" si="72">+SUM(F54:F57)</f>
        <v>0</v>
      </c>
      <c r="G53" s="1263">
        <f t="shared" si="71"/>
        <v>0</v>
      </c>
      <c r="H53" s="1264">
        <f t="shared" ref="H53" si="73">+SUM(H54:H57)</f>
        <v>0</v>
      </c>
      <c r="I53" s="1261">
        <f t="shared" si="71"/>
        <v>0</v>
      </c>
      <c r="J53" s="1262">
        <f t="shared" ref="J53" si="74">+SUM(J54:J57)</f>
        <v>0</v>
      </c>
      <c r="K53" s="1263">
        <f t="shared" si="71"/>
        <v>0</v>
      </c>
      <c r="L53" s="1262">
        <f t="shared" ref="L53" si="75">+SUM(L54:L57)</f>
        <v>0</v>
      </c>
      <c r="M53" s="1263" t="str">
        <f>IFERROR(AVERAGE(M54:M57),"")</f>
        <v/>
      </c>
      <c r="N53" s="1265">
        <f t="shared" ref="N53" si="76">+SUM(N54:N57)</f>
        <v>0</v>
      </c>
      <c r="O53" s="1309" t="e">
        <f>(I54*O54+I55*O55+I56*O56+I57*O57)/I53</f>
        <v>#DIV/0!</v>
      </c>
      <c r="P53" s="1261">
        <f t="shared" si="71"/>
        <v>0</v>
      </c>
      <c r="Q53" s="1262">
        <f t="shared" ref="Q53" si="77">+SUM(Q54:Q57)</f>
        <v>0</v>
      </c>
      <c r="R53" s="1263">
        <f t="shared" si="71"/>
        <v>0</v>
      </c>
      <c r="S53" s="1264">
        <f t="shared" ref="S53" si="78">+SUM(S54:S57)</f>
        <v>0</v>
      </c>
      <c r="T53" s="1261">
        <f t="shared" si="71"/>
        <v>0</v>
      </c>
      <c r="U53" s="1262">
        <f t="shared" ref="U53" si="79">+SUM(U54:U57)</f>
        <v>0</v>
      </c>
      <c r="V53" s="1263">
        <f t="shared" si="71"/>
        <v>0</v>
      </c>
      <c r="W53" s="1262">
        <f t="shared" si="71"/>
        <v>0</v>
      </c>
      <c r="X53" s="1447"/>
      <c r="Y53" s="1261">
        <f t="shared" si="23"/>
        <v>0</v>
      </c>
      <c r="Z53" s="1268">
        <f t="shared" si="11"/>
        <v>0</v>
      </c>
      <c r="AA53" s="1263">
        <f t="shared" si="37"/>
        <v>0</v>
      </c>
      <c r="AB53" s="1268">
        <f t="shared" si="38"/>
        <v>0</v>
      </c>
      <c r="AC53" s="1212" t="str">
        <f>IFERROR(AVERAGE(AC54:AC57),"")</f>
        <v/>
      </c>
      <c r="AD53" s="1318">
        <f t="shared" ref="AD53" si="80">+SUM(AD54:AD57)</f>
        <v>0</v>
      </c>
      <c r="AE53" s="1267" t="e">
        <f>(Y54*AE54+Y55*AE55+Y56*AE56+Y57*AE57)/Y53</f>
        <v>#DIV/0!</v>
      </c>
      <c r="AF53" s="1271">
        <f>+MAX(AF54:AF57)</f>
        <v>0</v>
      </c>
      <c r="AG53" s="1272">
        <f t="array" ref="AG53">+MIN(IF(AG54:AG57&gt;0,AG54:AG57))</f>
        <v>0</v>
      </c>
      <c r="AH53" s="1163" t="str">
        <f>IF(SUM(Y54:Y57)&gt;0,IF(SUM(Z54:Z57)=0,"Зээлдэгчийн тоог бүрэн шивнэ үү.",""),"")</f>
        <v/>
      </c>
    </row>
    <row r="54" spans="1:34">
      <c r="A54" s="1441"/>
      <c r="B54" s="1273">
        <v>1</v>
      </c>
      <c r="C54" s="774" t="s">
        <v>163</v>
      </c>
      <c r="D54" s="1130">
        <v>42</v>
      </c>
      <c r="E54" s="1217"/>
      <c r="F54" s="1218"/>
      <c r="G54" s="1219"/>
      <c r="H54" s="1220"/>
      <c r="I54" s="1274"/>
      <c r="J54" s="1218"/>
      <c r="K54" s="1219"/>
      <c r="L54" s="1218"/>
      <c r="M54" s="1275"/>
      <c r="N54" s="1276">
        <f t="shared" si="39"/>
        <v>0</v>
      </c>
      <c r="O54" s="1277"/>
      <c r="P54" s="1278"/>
      <c r="Q54" s="1218"/>
      <c r="R54" s="1219"/>
      <c r="S54" s="1220"/>
      <c r="T54" s="1274"/>
      <c r="U54" s="1218"/>
      <c r="V54" s="1219"/>
      <c r="W54" s="1218"/>
      <c r="X54" s="1447"/>
      <c r="Y54" s="1279">
        <f t="shared" si="23"/>
        <v>0</v>
      </c>
      <c r="Z54" s="1280">
        <f t="shared" si="11"/>
        <v>0</v>
      </c>
      <c r="AA54" s="1281">
        <f t="shared" si="37"/>
        <v>0</v>
      </c>
      <c r="AB54" s="1280">
        <f t="shared" si="38"/>
        <v>0</v>
      </c>
      <c r="AC54" s="1282"/>
      <c r="AD54" s="1283">
        <f t="shared" si="40"/>
        <v>0</v>
      </c>
      <c r="AE54" s="1284"/>
      <c r="AF54" s="1284"/>
      <c r="AG54" s="1285"/>
      <c r="AH54" s="1163" t="str">
        <f>IF(I54&gt;0,IF(AND(O54&gt;0,O54&lt;0.15,AE54&gt;0,AE54&lt;0.15,AF54&gt;0,AF54&lt;0.15,AG54&gt;0,AG54&lt;0.15),"","ЗЖДХ болон дээд хүүг сараар шивнэ үү."),"")</f>
        <v/>
      </c>
    </row>
    <row r="55" spans="1:34">
      <c r="A55" s="1441"/>
      <c r="B55" s="1166">
        <v>2</v>
      </c>
      <c r="C55" s="1144" t="s">
        <v>574</v>
      </c>
      <c r="D55" s="1130">
        <v>43</v>
      </c>
      <c r="E55" s="1168"/>
      <c r="F55" s="1177"/>
      <c r="G55" s="1170"/>
      <c r="H55" s="1172"/>
      <c r="I55" s="1286"/>
      <c r="J55" s="1177"/>
      <c r="K55" s="1170"/>
      <c r="L55" s="1177"/>
      <c r="M55" s="1287"/>
      <c r="N55" s="1288">
        <f t="shared" si="39"/>
        <v>0</v>
      </c>
      <c r="O55" s="1289"/>
      <c r="P55" s="1290"/>
      <c r="Q55" s="1177"/>
      <c r="R55" s="1170"/>
      <c r="S55" s="1172"/>
      <c r="T55" s="1286"/>
      <c r="U55" s="1177"/>
      <c r="V55" s="1170"/>
      <c r="W55" s="1177"/>
      <c r="X55" s="1447"/>
      <c r="Y55" s="1291">
        <f t="shared" si="23"/>
        <v>0</v>
      </c>
      <c r="Z55" s="1175">
        <f t="shared" si="11"/>
        <v>0</v>
      </c>
      <c r="AA55" s="1176">
        <f t="shared" si="37"/>
        <v>0</v>
      </c>
      <c r="AB55" s="1175">
        <f t="shared" si="38"/>
        <v>0</v>
      </c>
      <c r="AC55" s="1292"/>
      <c r="AD55" s="1293">
        <f t="shared" si="40"/>
        <v>0</v>
      </c>
      <c r="AE55" s="1294"/>
      <c r="AF55" s="1294"/>
      <c r="AG55" s="1295"/>
      <c r="AH55" s="1163" t="str">
        <f>IF(I55&gt;0,IF(AND(O55&gt;0,O55&lt;0.15,AE55&gt;0,AE55&lt;0.15,AF55&gt;0,AF55&lt;0.15,AG55&gt;0,AG55&lt;0.15),"","ЗЖДХ болон дээд хүүг сараар шивнэ үү."),"")</f>
        <v/>
      </c>
    </row>
    <row r="56" spans="1:34">
      <c r="A56" s="1441"/>
      <c r="B56" s="1166">
        <v>3</v>
      </c>
      <c r="C56" s="1144" t="s">
        <v>575</v>
      </c>
      <c r="D56" s="1130">
        <v>44</v>
      </c>
      <c r="E56" s="1168"/>
      <c r="F56" s="1177"/>
      <c r="G56" s="1170"/>
      <c r="H56" s="1172"/>
      <c r="I56" s="1286"/>
      <c r="J56" s="1177"/>
      <c r="K56" s="1170"/>
      <c r="L56" s="1177"/>
      <c r="M56" s="1287"/>
      <c r="N56" s="1288">
        <f t="shared" si="39"/>
        <v>0</v>
      </c>
      <c r="O56" s="1289"/>
      <c r="P56" s="1290"/>
      <c r="Q56" s="1177"/>
      <c r="R56" s="1170"/>
      <c r="S56" s="1172"/>
      <c r="T56" s="1286"/>
      <c r="U56" s="1177"/>
      <c r="V56" s="1170"/>
      <c r="W56" s="1177"/>
      <c r="X56" s="1447"/>
      <c r="Y56" s="1291">
        <f t="shared" si="23"/>
        <v>0</v>
      </c>
      <c r="Z56" s="1175">
        <f t="shared" si="11"/>
        <v>0</v>
      </c>
      <c r="AA56" s="1176">
        <f t="shared" si="37"/>
        <v>0</v>
      </c>
      <c r="AB56" s="1175">
        <f t="shared" si="38"/>
        <v>0</v>
      </c>
      <c r="AC56" s="1292"/>
      <c r="AD56" s="1293">
        <f t="shared" si="40"/>
        <v>0</v>
      </c>
      <c r="AE56" s="1294"/>
      <c r="AF56" s="1294"/>
      <c r="AG56" s="1295"/>
      <c r="AH56" s="1163" t="str">
        <f>IF(I56&gt;0,IF(AND(O56&gt;0,O56&lt;0.15,AE56&gt;0,AE56&lt;0.15,AF56&gt;0,AF56&lt;0.15,AG56&gt;0,AG56&lt;0.15),"","ЗЖДХ болон дээд хүүг сараар шивнэ үү."),"")</f>
        <v/>
      </c>
    </row>
    <row r="57" spans="1:34">
      <c r="A57" s="1441"/>
      <c r="B57" s="1310">
        <v>4</v>
      </c>
      <c r="C57" s="1244" t="s">
        <v>576</v>
      </c>
      <c r="D57" s="1130">
        <v>45</v>
      </c>
      <c r="E57" s="1245"/>
      <c r="F57" s="1246"/>
      <c r="G57" s="1173"/>
      <c r="H57" s="1247"/>
      <c r="I57" s="1297"/>
      <c r="J57" s="1246"/>
      <c r="K57" s="1173"/>
      <c r="L57" s="1246"/>
      <c r="M57" s="1298"/>
      <c r="N57" s="1299">
        <f t="shared" si="39"/>
        <v>0</v>
      </c>
      <c r="O57" s="1319"/>
      <c r="P57" s="1301"/>
      <c r="Q57" s="1246"/>
      <c r="R57" s="1173"/>
      <c r="S57" s="1247"/>
      <c r="T57" s="1297"/>
      <c r="U57" s="1246"/>
      <c r="V57" s="1173"/>
      <c r="W57" s="1246"/>
      <c r="X57" s="1447"/>
      <c r="Y57" s="1312">
        <f t="shared" si="23"/>
        <v>0</v>
      </c>
      <c r="Z57" s="1187">
        <f t="shared" si="11"/>
        <v>0</v>
      </c>
      <c r="AA57" s="1313">
        <f t="shared" si="37"/>
        <v>0</v>
      </c>
      <c r="AB57" s="1187">
        <f t="shared" si="38"/>
        <v>0</v>
      </c>
      <c r="AC57" s="1314"/>
      <c r="AD57" s="1315">
        <f t="shared" si="40"/>
        <v>0</v>
      </c>
      <c r="AE57" s="1305"/>
      <c r="AF57" s="1316"/>
      <c r="AG57" s="1317"/>
      <c r="AH57" s="1163" t="str">
        <f>IF(I57&gt;0,IF(AND(O57&gt;0,O57&lt;0.15,AE57&gt;0,AE57&lt;0.15,AF57&gt;0,AF57&lt;0.15,AG57&gt;0,AG57&lt;0.15),"","ЗЖДХ болон дээд хүүг сараар шивнэ үү."),"")</f>
        <v/>
      </c>
    </row>
    <row r="58" spans="1:34">
      <c r="A58" s="1440" t="s">
        <v>604</v>
      </c>
      <c r="B58" s="1311">
        <v>23</v>
      </c>
      <c r="C58" s="777" t="s">
        <v>605</v>
      </c>
      <c r="D58" s="1130">
        <v>46</v>
      </c>
      <c r="E58" s="1261">
        <f t="shared" ref="E58:W58" si="81">+SUM(E59:E62)</f>
        <v>0</v>
      </c>
      <c r="F58" s="1262">
        <f t="shared" ref="F58" si="82">+SUM(F59:F62)</f>
        <v>0</v>
      </c>
      <c r="G58" s="1263">
        <f t="shared" si="81"/>
        <v>0</v>
      </c>
      <c r="H58" s="1264">
        <f t="shared" ref="H58" si="83">+SUM(H59:H62)</f>
        <v>0</v>
      </c>
      <c r="I58" s="1261">
        <f t="shared" si="81"/>
        <v>0</v>
      </c>
      <c r="J58" s="1262">
        <f t="shared" ref="J58" si="84">+SUM(J59:J62)</f>
        <v>0</v>
      </c>
      <c r="K58" s="1263">
        <f t="shared" si="81"/>
        <v>0</v>
      </c>
      <c r="L58" s="1262">
        <f t="shared" ref="L58" si="85">+SUM(L59:L62)</f>
        <v>0</v>
      </c>
      <c r="M58" s="1263" t="str">
        <f>IFERROR(AVERAGE(M59:M62),"")</f>
        <v/>
      </c>
      <c r="N58" s="1206">
        <f>+SUM(N59:N62)</f>
        <v>0</v>
      </c>
      <c r="O58" s="1270" t="e">
        <f>(I59*O59+I60*O60+I61*O61+I62*O62)/I58</f>
        <v>#DIV/0!</v>
      </c>
      <c r="P58" s="1261">
        <f t="shared" si="81"/>
        <v>0</v>
      </c>
      <c r="Q58" s="1262">
        <f t="shared" ref="Q58" si="86">+SUM(Q59:Q62)</f>
        <v>0</v>
      </c>
      <c r="R58" s="1263">
        <f t="shared" si="81"/>
        <v>0</v>
      </c>
      <c r="S58" s="1264">
        <f t="shared" ref="S58" si="87">+SUM(S59:S62)</f>
        <v>0</v>
      </c>
      <c r="T58" s="1261">
        <f t="shared" si="81"/>
        <v>0</v>
      </c>
      <c r="U58" s="1262">
        <f t="shared" ref="U58" si="88">+SUM(U59:U62)</f>
        <v>0</v>
      </c>
      <c r="V58" s="1263">
        <f t="shared" si="81"/>
        <v>0</v>
      </c>
      <c r="W58" s="1262">
        <f t="shared" si="81"/>
        <v>0</v>
      </c>
      <c r="X58" s="1447"/>
      <c r="Y58" s="1261">
        <f t="shared" si="23"/>
        <v>0</v>
      </c>
      <c r="Z58" s="1268">
        <f t="shared" si="11"/>
        <v>0</v>
      </c>
      <c r="AA58" s="1263">
        <f t="shared" si="37"/>
        <v>0</v>
      </c>
      <c r="AB58" s="1268">
        <f t="shared" si="38"/>
        <v>0</v>
      </c>
      <c r="AC58" s="1212" t="str">
        <f>IFERROR(AVERAGE(AC59:AC62),"")</f>
        <v/>
      </c>
      <c r="AD58" s="1269">
        <f>+SUM(AD59:AD62)</f>
        <v>0</v>
      </c>
      <c r="AE58" s="1270" t="e">
        <f>(Y59*AE59+Y60*AE60+Y61*AE61+Y62*AE62)/Y58</f>
        <v>#DIV/0!</v>
      </c>
      <c r="AF58" s="1271">
        <f>+MAX(AF59:AF62)</f>
        <v>0</v>
      </c>
      <c r="AG58" s="1272">
        <f t="array" ref="AG58">+MIN(IF(AG59:AG62&gt;0,AG59:AG62))</f>
        <v>0</v>
      </c>
      <c r="AH58" s="1163" t="str">
        <f>IF(SUM(Y59:Y62)&gt;0,IF(SUM(Z59:Z62)=0,"Зээлдэгчийн тоог бүрэн шивнэ үү.",""),"")</f>
        <v/>
      </c>
    </row>
    <row r="59" spans="1:34">
      <c r="A59" s="1441"/>
      <c r="B59" s="1273">
        <v>1</v>
      </c>
      <c r="C59" s="774" t="s">
        <v>163</v>
      </c>
      <c r="D59" s="1130">
        <v>47</v>
      </c>
      <c r="E59" s="1217"/>
      <c r="F59" s="1218"/>
      <c r="G59" s="1219"/>
      <c r="H59" s="1220"/>
      <c r="I59" s="1274"/>
      <c r="J59" s="1218"/>
      <c r="K59" s="1219"/>
      <c r="L59" s="1218"/>
      <c r="M59" s="1275"/>
      <c r="N59" s="1276">
        <f t="shared" si="39"/>
        <v>0</v>
      </c>
      <c r="O59" s="1277"/>
      <c r="P59" s="1278"/>
      <c r="Q59" s="1218"/>
      <c r="R59" s="1219"/>
      <c r="S59" s="1220"/>
      <c r="T59" s="1274"/>
      <c r="U59" s="1218"/>
      <c r="V59" s="1219"/>
      <c r="W59" s="1218"/>
      <c r="X59" s="1447"/>
      <c r="Y59" s="1279">
        <f t="shared" si="23"/>
        <v>0</v>
      </c>
      <c r="Z59" s="1280">
        <f t="shared" si="11"/>
        <v>0</v>
      </c>
      <c r="AA59" s="1281">
        <f t="shared" si="37"/>
        <v>0</v>
      </c>
      <c r="AB59" s="1280">
        <f t="shared" si="38"/>
        <v>0</v>
      </c>
      <c r="AC59" s="1282"/>
      <c r="AD59" s="1283">
        <f t="shared" si="40"/>
        <v>0</v>
      </c>
      <c r="AE59" s="1284"/>
      <c r="AF59" s="1284"/>
      <c r="AG59" s="1285"/>
      <c r="AH59" s="1163" t="str">
        <f>IF(I59&gt;0,IF(AND(O59&gt;0,O59&lt;0.15,AE59&gt;0,AE59&lt;0.15,AF59&gt;0,AF59&lt;0.15,AG59&gt;0,AG59&lt;0.15),"","ЗЖДХ болон дээд хүүг сараар шивнэ үү."),"")</f>
        <v/>
      </c>
    </row>
    <row r="60" spans="1:34">
      <c r="A60" s="1441"/>
      <c r="B60" s="1166">
        <v>2</v>
      </c>
      <c r="C60" s="1144" t="s">
        <v>574</v>
      </c>
      <c r="D60" s="1130">
        <v>48</v>
      </c>
      <c r="E60" s="1168"/>
      <c r="F60" s="1177"/>
      <c r="G60" s="1170"/>
      <c r="H60" s="1172"/>
      <c r="I60" s="1286"/>
      <c r="J60" s="1177"/>
      <c r="K60" s="1170"/>
      <c r="L60" s="1177"/>
      <c r="M60" s="1287"/>
      <c r="N60" s="1288">
        <f t="shared" si="39"/>
        <v>0</v>
      </c>
      <c r="O60" s="1289"/>
      <c r="P60" s="1290"/>
      <c r="Q60" s="1177"/>
      <c r="R60" s="1170"/>
      <c r="S60" s="1172"/>
      <c r="T60" s="1286"/>
      <c r="U60" s="1177"/>
      <c r="V60" s="1170"/>
      <c r="W60" s="1177"/>
      <c r="X60" s="1447"/>
      <c r="Y60" s="1291">
        <f t="shared" si="23"/>
        <v>0</v>
      </c>
      <c r="Z60" s="1175">
        <f t="shared" si="11"/>
        <v>0</v>
      </c>
      <c r="AA60" s="1176">
        <f t="shared" si="37"/>
        <v>0</v>
      </c>
      <c r="AB60" s="1175">
        <f t="shared" si="38"/>
        <v>0</v>
      </c>
      <c r="AC60" s="1292"/>
      <c r="AD60" s="1293">
        <f t="shared" si="40"/>
        <v>0</v>
      </c>
      <c r="AE60" s="1294"/>
      <c r="AF60" s="1294"/>
      <c r="AG60" s="1295"/>
      <c r="AH60" s="1163" t="str">
        <f>IF(I60&gt;0,IF(AND(O60&gt;0,O60&lt;0.15,AE60&gt;0,AE60&lt;0.15,AF60&gt;0,AF60&lt;0.15,AG60&gt;0,AG60&lt;0.15),"","ЗЖДХ болон дээд хүүг сараар шивнэ үү."),"")</f>
        <v/>
      </c>
    </row>
    <row r="61" spans="1:34">
      <c r="A61" s="1441"/>
      <c r="B61" s="1166">
        <v>3</v>
      </c>
      <c r="C61" s="1144" t="s">
        <v>575</v>
      </c>
      <c r="D61" s="1130">
        <v>49</v>
      </c>
      <c r="E61" s="1168"/>
      <c r="F61" s="1177"/>
      <c r="G61" s="1170"/>
      <c r="H61" s="1172"/>
      <c r="I61" s="1286"/>
      <c r="J61" s="1177"/>
      <c r="K61" s="1170"/>
      <c r="L61" s="1177"/>
      <c r="M61" s="1287"/>
      <c r="N61" s="1288">
        <f t="shared" si="39"/>
        <v>0</v>
      </c>
      <c r="O61" s="1289"/>
      <c r="P61" s="1290"/>
      <c r="Q61" s="1177"/>
      <c r="R61" s="1170"/>
      <c r="S61" s="1172"/>
      <c r="T61" s="1286"/>
      <c r="U61" s="1177"/>
      <c r="V61" s="1170"/>
      <c r="W61" s="1177"/>
      <c r="X61" s="1447"/>
      <c r="Y61" s="1291">
        <f t="shared" si="23"/>
        <v>0</v>
      </c>
      <c r="Z61" s="1175">
        <f t="shared" si="11"/>
        <v>0</v>
      </c>
      <c r="AA61" s="1176">
        <f t="shared" si="37"/>
        <v>0</v>
      </c>
      <c r="AB61" s="1175">
        <f t="shared" si="38"/>
        <v>0</v>
      </c>
      <c r="AC61" s="1292"/>
      <c r="AD61" s="1293">
        <f t="shared" si="40"/>
        <v>0</v>
      </c>
      <c r="AE61" s="1294"/>
      <c r="AF61" s="1294"/>
      <c r="AG61" s="1295"/>
      <c r="AH61" s="1163" t="str">
        <f>IF(I61&gt;0,IF(AND(O61&gt;0,O61&lt;0.15,AE61&gt;0,AE61&lt;0.15,AF61&gt;0,AF61&lt;0.15,AG61&gt;0,AG61&lt;0.15),"","ЗЖДХ болон дээд хүүг сараар шивнэ үү."),"")</f>
        <v/>
      </c>
    </row>
    <row r="62" spans="1:34">
      <c r="A62" s="1441"/>
      <c r="B62" s="1310">
        <v>4</v>
      </c>
      <c r="C62" s="1244" t="s">
        <v>576</v>
      </c>
      <c r="D62" s="1130">
        <v>50</v>
      </c>
      <c r="E62" s="1245"/>
      <c r="F62" s="1246"/>
      <c r="G62" s="1173"/>
      <c r="H62" s="1247"/>
      <c r="I62" s="1297"/>
      <c r="J62" s="1246"/>
      <c r="K62" s="1173"/>
      <c r="L62" s="1246"/>
      <c r="M62" s="1298"/>
      <c r="N62" s="1299">
        <f t="shared" si="39"/>
        <v>0</v>
      </c>
      <c r="O62" s="1300"/>
      <c r="P62" s="1301"/>
      <c r="Q62" s="1246"/>
      <c r="R62" s="1173"/>
      <c r="S62" s="1247"/>
      <c r="T62" s="1297"/>
      <c r="U62" s="1246"/>
      <c r="V62" s="1173"/>
      <c r="W62" s="1246"/>
      <c r="X62" s="1447"/>
      <c r="Y62" s="1312">
        <f t="shared" si="23"/>
        <v>0</v>
      </c>
      <c r="Z62" s="1187">
        <f t="shared" si="11"/>
        <v>0</v>
      </c>
      <c r="AA62" s="1313">
        <f t="shared" si="37"/>
        <v>0</v>
      </c>
      <c r="AB62" s="1187">
        <f t="shared" si="38"/>
        <v>0</v>
      </c>
      <c r="AC62" s="1314"/>
      <c r="AD62" s="1315">
        <f t="shared" si="40"/>
        <v>0</v>
      </c>
      <c r="AE62" s="1316"/>
      <c r="AF62" s="1316"/>
      <c r="AG62" s="1317"/>
      <c r="AH62" s="1163" t="str">
        <f>IF(I62&gt;0,IF(AND(O62&gt;0,O62&lt;0.15,AE62&gt;0,AE62&lt;0.15,AF62&gt;0,AF62&lt;0.15,AG62&gt;0,AG62&lt;0.15),"","ЗЖДХ болон дээд хүүг сараар шивнэ үү."),"")</f>
        <v/>
      </c>
    </row>
    <row r="63" spans="1:34" ht="25.5">
      <c r="A63" s="1440" t="s">
        <v>606</v>
      </c>
      <c r="B63" s="1311">
        <v>24</v>
      </c>
      <c r="C63" s="776" t="s">
        <v>607</v>
      </c>
      <c r="D63" s="1130">
        <v>51</v>
      </c>
      <c r="E63" s="1261">
        <f t="shared" ref="E63:W63" si="89">+SUM(E64:E67)</f>
        <v>0</v>
      </c>
      <c r="F63" s="1262">
        <f t="shared" ref="F63" si="90">+SUM(F64:F67)</f>
        <v>0</v>
      </c>
      <c r="G63" s="1263">
        <f t="shared" si="89"/>
        <v>0</v>
      </c>
      <c r="H63" s="1264">
        <f t="shared" ref="H63" si="91">+SUM(H64:H67)</f>
        <v>0</v>
      </c>
      <c r="I63" s="1261">
        <f t="shared" si="89"/>
        <v>0</v>
      </c>
      <c r="J63" s="1262">
        <f t="shared" ref="J63" si="92">+SUM(J64:J67)</f>
        <v>0</v>
      </c>
      <c r="K63" s="1263">
        <f t="shared" si="89"/>
        <v>0</v>
      </c>
      <c r="L63" s="1262">
        <f t="shared" ref="L63" si="93">+SUM(L64:L67)</f>
        <v>0</v>
      </c>
      <c r="M63" s="1263" t="str">
        <f>IFERROR(AVERAGE(M64:M67),"")</f>
        <v/>
      </c>
      <c r="N63" s="1265">
        <f>+SUM(N64:N67)</f>
        <v>0</v>
      </c>
      <c r="O63" s="1309" t="e">
        <f>(I64*O64+I65*O65+I66*O66+I67*O67)/I63</f>
        <v>#DIV/0!</v>
      </c>
      <c r="P63" s="1261">
        <f t="shared" si="89"/>
        <v>0</v>
      </c>
      <c r="Q63" s="1262">
        <f t="shared" ref="Q63" si="94">+SUM(Q64:Q67)</f>
        <v>0</v>
      </c>
      <c r="R63" s="1263">
        <f t="shared" si="89"/>
        <v>0</v>
      </c>
      <c r="S63" s="1264">
        <f t="shared" ref="S63" si="95">+SUM(S64:S67)</f>
        <v>0</v>
      </c>
      <c r="T63" s="1261">
        <f t="shared" si="89"/>
        <v>0</v>
      </c>
      <c r="U63" s="1262">
        <f t="shared" ref="U63" si="96">+SUM(U64:U67)</f>
        <v>0</v>
      </c>
      <c r="V63" s="1263">
        <f t="shared" si="89"/>
        <v>0</v>
      </c>
      <c r="W63" s="1262">
        <f t="shared" si="89"/>
        <v>0</v>
      </c>
      <c r="X63" s="1447"/>
      <c r="Y63" s="1261">
        <f t="shared" si="23"/>
        <v>0</v>
      </c>
      <c r="Z63" s="1268">
        <f t="shared" si="11"/>
        <v>0</v>
      </c>
      <c r="AA63" s="1263">
        <f t="shared" si="37"/>
        <v>0</v>
      </c>
      <c r="AB63" s="1268">
        <f t="shared" si="38"/>
        <v>0</v>
      </c>
      <c r="AC63" s="1212" t="str">
        <f>IFERROR(AVERAGE(AC64:AC67),"")</f>
        <v/>
      </c>
      <c r="AD63" s="1320">
        <f>+SUM(AD64:AD67)</f>
        <v>0</v>
      </c>
      <c r="AE63" s="1309" t="e">
        <f>(Y64*AE64+Y65*AE65+Y66*AE66+Y67*AE67)/Y63</f>
        <v>#DIV/0!</v>
      </c>
      <c r="AF63" s="1271">
        <f>+MAX(AF64:AF67)</f>
        <v>0</v>
      </c>
      <c r="AG63" s="1272">
        <f t="array" ref="AG63">+MIN(IF(AG64:AG67&gt;0,AG64:AG67))</f>
        <v>0</v>
      </c>
      <c r="AH63" s="1163" t="str">
        <f>IF(SUM(Y64:Y67)&gt;0,IF(SUM(Z64:Z67)=0,"Зээлдэгчийн тоог бүрэн шивнэ үү.",""),"")</f>
        <v/>
      </c>
    </row>
    <row r="64" spans="1:34">
      <c r="A64" s="1441"/>
      <c r="B64" s="1273">
        <v>1</v>
      </c>
      <c r="C64" s="774" t="s">
        <v>163</v>
      </c>
      <c r="D64" s="1130">
        <v>52</v>
      </c>
      <c r="E64" s="1217"/>
      <c r="F64" s="1218"/>
      <c r="G64" s="1219"/>
      <c r="H64" s="1220"/>
      <c r="I64" s="1274"/>
      <c r="J64" s="1218"/>
      <c r="K64" s="1219"/>
      <c r="L64" s="1218"/>
      <c r="M64" s="1275"/>
      <c r="N64" s="1276">
        <f t="shared" si="39"/>
        <v>0</v>
      </c>
      <c r="O64" s="1277"/>
      <c r="P64" s="1278"/>
      <c r="Q64" s="1218"/>
      <c r="R64" s="1219"/>
      <c r="S64" s="1220"/>
      <c r="T64" s="1274"/>
      <c r="U64" s="1218"/>
      <c r="V64" s="1219"/>
      <c r="W64" s="1218"/>
      <c r="X64" s="1447"/>
      <c r="Y64" s="1279">
        <f t="shared" si="23"/>
        <v>0</v>
      </c>
      <c r="Z64" s="1280">
        <f t="shared" si="11"/>
        <v>0</v>
      </c>
      <c r="AA64" s="1281">
        <f t="shared" si="37"/>
        <v>0</v>
      </c>
      <c r="AB64" s="1280">
        <f t="shared" si="38"/>
        <v>0</v>
      </c>
      <c r="AC64" s="1282"/>
      <c r="AD64" s="1283">
        <f t="shared" si="40"/>
        <v>0</v>
      </c>
      <c r="AE64" s="1284"/>
      <c r="AF64" s="1284"/>
      <c r="AG64" s="1285"/>
      <c r="AH64" s="1163" t="str">
        <f>IF(I64&gt;0,IF(AND(O64&gt;0,O64&lt;0.15,AE64&gt;0,AE64&lt;0.15,AF64&gt;0,AF64&lt;0.15,AG64&gt;0,AG64&lt;0.15),"","ЗЖДХ болон дээд хүүг сараар шивнэ үү."),"")</f>
        <v/>
      </c>
    </row>
    <row r="65" spans="1:34">
      <c r="A65" s="1441"/>
      <c r="B65" s="1166">
        <v>2</v>
      </c>
      <c r="C65" s="1144" t="s">
        <v>574</v>
      </c>
      <c r="D65" s="1130">
        <v>53</v>
      </c>
      <c r="E65" s="1168"/>
      <c r="F65" s="1177"/>
      <c r="G65" s="1170"/>
      <c r="H65" s="1172"/>
      <c r="I65" s="1286"/>
      <c r="J65" s="1177"/>
      <c r="K65" s="1170"/>
      <c r="L65" s="1177"/>
      <c r="M65" s="1287"/>
      <c r="N65" s="1288">
        <f t="shared" si="39"/>
        <v>0</v>
      </c>
      <c r="O65" s="1289"/>
      <c r="P65" s="1290"/>
      <c r="Q65" s="1177"/>
      <c r="R65" s="1170"/>
      <c r="S65" s="1172"/>
      <c r="T65" s="1286"/>
      <c r="U65" s="1177"/>
      <c r="V65" s="1170"/>
      <c r="W65" s="1177"/>
      <c r="X65" s="1447"/>
      <c r="Y65" s="1291">
        <f t="shared" si="23"/>
        <v>0</v>
      </c>
      <c r="Z65" s="1175">
        <f t="shared" si="11"/>
        <v>0</v>
      </c>
      <c r="AA65" s="1176">
        <f t="shared" si="37"/>
        <v>0</v>
      </c>
      <c r="AB65" s="1175">
        <f t="shared" si="38"/>
        <v>0</v>
      </c>
      <c r="AC65" s="1292"/>
      <c r="AD65" s="1293">
        <f t="shared" si="40"/>
        <v>0</v>
      </c>
      <c r="AE65" s="1294"/>
      <c r="AF65" s="1294"/>
      <c r="AG65" s="1295"/>
      <c r="AH65" s="1163" t="str">
        <f>IF(I65&gt;0,IF(AND(O65&gt;0,O65&lt;0.15,AE65&gt;0,AE65&lt;0.15,AF65&gt;0,AF65&lt;0.15,AG65&gt;0,AG65&lt;0.15),"","ЗЖДХ болон дээд хүүг сараар шивнэ үү."),"")</f>
        <v/>
      </c>
    </row>
    <row r="66" spans="1:34">
      <c r="A66" s="1441"/>
      <c r="B66" s="1166">
        <v>3</v>
      </c>
      <c r="C66" s="1144" t="s">
        <v>575</v>
      </c>
      <c r="D66" s="1130">
        <v>54</v>
      </c>
      <c r="E66" s="1168"/>
      <c r="F66" s="1177"/>
      <c r="G66" s="1170"/>
      <c r="H66" s="1172"/>
      <c r="I66" s="1286"/>
      <c r="J66" s="1177"/>
      <c r="K66" s="1170"/>
      <c r="L66" s="1177"/>
      <c r="M66" s="1287"/>
      <c r="N66" s="1288">
        <f t="shared" si="39"/>
        <v>0</v>
      </c>
      <c r="O66" s="1289"/>
      <c r="P66" s="1290"/>
      <c r="Q66" s="1177"/>
      <c r="R66" s="1170"/>
      <c r="S66" s="1172"/>
      <c r="T66" s="1286"/>
      <c r="U66" s="1177"/>
      <c r="V66" s="1170"/>
      <c r="W66" s="1177"/>
      <c r="X66" s="1447"/>
      <c r="Y66" s="1291">
        <f t="shared" si="23"/>
        <v>0</v>
      </c>
      <c r="Z66" s="1175">
        <f t="shared" si="11"/>
        <v>0</v>
      </c>
      <c r="AA66" s="1176">
        <f t="shared" si="37"/>
        <v>0</v>
      </c>
      <c r="AB66" s="1175">
        <f t="shared" si="38"/>
        <v>0</v>
      </c>
      <c r="AC66" s="1292"/>
      <c r="AD66" s="1293">
        <f t="shared" si="40"/>
        <v>0</v>
      </c>
      <c r="AE66" s="1294"/>
      <c r="AF66" s="1294"/>
      <c r="AG66" s="1295"/>
      <c r="AH66" s="1163" t="str">
        <f>IF(I66&gt;0,IF(AND(O66&gt;0,O66&lt;0.15,AE66&gt;0,AE66&lt;0.15,AF66&gt;0,AF66&lt;0.15,AG66&gt;0,AG66&lt;0.15),"","ЗЖДХ болон дээд хүүг сараар шивнэ үү."),"")</f>
        <v/>
      </c>
    </row>
    <row r="67" spans="1:34">
      <c r="A67" s="1441"/>
      <c r="B67" s="1310">
        <v>4</v>
      </c>
      <c r="C67" s="1244" t="s">
        <v>576</v>
      </c>
      <c r="D67" s="1130">
        <v>55</v>
      </c>
      <c r="E67" s="1245"/>
      <c r="F67" s="1246"/>
      <c r="G67" s="1173"/>
      <c r="H67" s="1247"/>
      <c r="I67" s="1297"/>
      <c r="J67" s="1246"/>
      <c r="K67" s="1173"/>
      <c r="L67" s="1246"/>
      <c r="M67" s="1298"/>
      <c r="N67" s="1299">
        <f t="shared" si="39"/>
        <v>0</v>
      </c>
      <c r="O67" s="1300"/>
      <c r="P67" s="1301"/>
      <c r="Q67" s="1246"/>
      <c r="R67" s="1173"/>
      <c r="S67" s="1247"/>
      <c r="T67" s="1297"/>
      <c r="U67" s="1246"/>
      <c r="V67" s="1173"/>
      <c r="W67" s="1246"/>
      <c r="X67" s="1447"/>
      <c r="Y67" s="1312">
        <f t="shared" si="23"/>
        <v>0</v>
      </c>
      <c r="Z67" s="1187">
        <f t="shared" si="11"/>
        <v>0</v>
      </c>
      <c r="AA67" s="1313">
        <f t="shared" si="37"/>
        <v>0</v>
      </c>
      <c r="AB67" s="1187">
        <f t="shared" si="38"/>
        <v>0</v>
      </c>
      <c r="AC67" s="1314"/>
      <c r="AD67" s="1315">
        <f t="shared" si="40"/>
        <v>0</v>
      </c>
      <c r="AE67" s="1305"/>
      <c r="AF67" s="1316"/>
      <c r="AG67" s="1317"/>
      <c r="AH67" s="1163" t="str">
        <f>IF(I67&gt;0,IF(AND(O67&gt;0,O67&lt;0.15,AE67&gt;0,AE67&lt;0.15,AF67&gt;0,AF67&lt;0.15,AG67&gt;0,AG67&lt;0.15),"","ЗЖДХ болон дээд хүүг сараар шивнэ үү."),"")</f>
        <v/>
      </c>
    </row>
    <row r="68" spans="1:34">
      <c r="A68" s="1440" t="s">
        <v>608</v>
      </c>
      <c r="B68" s="1311">
        <v>25</v>
      </c>
      <c r="C68" s="777" t="s">
        <v>609</v>
      </c>
      <c r="D68" s="1130">
        <v>56</v>
      </c>
      <c r="E68" s="1261">
        <f t="shared" ref="E68:W68" si="97">+SUM(E69:E72)</f>
        <v>0</v>
      </c>
      <c r="F68" s="1262">
        <f t="shared" ref="F68" si="98">+SUM(F69:F72)</f>
        <v>0</v>
      </c>
      <c r="G68" s="1263">
        <f t="shared" si="97"/>
        <v>0</v>
      </c>
      <c r="H68" s="1264">
        <f t="shared" ref="H68" si="99">+SUM(H69:H72)</f>
        <v>0</v>
      </c>
      <c r="I68" s="1261">
        <f t="shared" si="97"/>
        <v>0</v>
      </c>
      <c r="J68" s="1262">
        <f t="shared" ref="J68" si="100">+SUM(J69:J72)</f>
        <v>0</v>
      </c>
      <c r="K68" s="1263">
        <f t="shared" si="97"/>
        <v>0</v>
      </c>
      <c r="L68" s="1262">
        <f t="shared" ref="L68" si="101">+SUM(L69:L72)</f>
        <v>0</v>
      </c>
      <c r="M68" s="1263" t="str">
        <f>IFERROR(AVERAGE(M69:M72),"")</f>
        <v/>
      </c>
      <c r="N68" s="1265">
        <f t="shared" ref="N68" si="102">+SUM(N69:N72)</f>
        <v>0</v>
      </c>
      <c r="O68" s="1309" t="e">
        <f>(I69*O69+I70*O70+I71*O71+I72*O72)/I68</f>
        <v>#DIV/0!</v>
      </c>
      <c r="P68" s="1261">
        <f t="shared" si="97"/>
        <v>0</v>
      </c>
      <c r="Q68" s="1262">
        <f t="shared" ref="Q68" si="103">+SUM(Q69:Q72)</f>
        <v>0</v>
      </c>
      <c r="R68" s="1263">
        <f t="shared" si="97"/>
        <v>0</v>
      </c>
      <c r="S68" s="1264">
        <f t="shared" ref="S68" si="104">+SUM(S69:S72)</f>
        <v>0</v>
      </c>
      <c r="T68" s="1261">
        <f t="shared" si="97"/>
        <v>0</v>
      </c>
      <c r="U68" s="1262">
        <f t="shared" ref="U68" si="105">+SUM(U69:U72)</f>
        <v>0</v>
      </c>
      <c r="V68" s="1263">
        <f t="shared" si="97"/>
        <v>0</v>
      </c>
      <c r="W68" s="1262">
        <f t="shared" si="97"/>
        <v>0</v>
      </c>
      <c r="X68" s="1447"/>
      <c r="Y68" s="1261">
        <f t="shared" si="23"/>
        <v>0</v>
      </c>
      <c r="Z68" s="1268">
        <f t="shared" si="11"/>
        <v>0</v>
      </c>
      <c r="AA68" s="1263">
        <f t="shared" si="37"/>
        <v>0</v>
      </c>
      <c r="AB68" s="1268">
        <f t="shared" si="38"/>
        <v>0</v>
      </c>
      <c r="AC68" s="1212" t="str">
        <f>IFERROR(AVERAGE(AC69:AC72),"")</f>
        <v/>
      </c>
      <c r="AD68" s="1269">
        <f t="shared" ref="AD68" si="106">+SUM(AD69:AD72)</f>
        <v>0</v>
      </c>
      <c r="AE68" s="1270" t="e">
        <f>(Y69*AE69+Y70*AE70+Y71*AE71+Y72*AE72)/Y68</f>
        <v>#DIV/0!</v>
      </c>
      <c r="AF68" s="1271">
        <f>+MAX(AF69:AF72)</f>
        <v>0</v>
      </c>
      <c r="AG68" s="1272">
        <f t="array" ref="AG68">+MIN(IF(AG69:AG72&gt;0,AG69:AG72))</f>
        <v>0</v>
      </c>
      <c r="AH68" s="1163" t="str">
        <f>IF(SUM(Y69:Y72)&gt;0,IF(SUM(Z69:Z72)=0,"Зээлдэгчийн тоог бүрэн шивнэ үү.",""),"")</f>
        <v/>
      </c>
    </row>
    <row r="69" spans="1:34">
      <c r="A69" s="1441"/>
      <c r="B69" s="1273">
        <v>1</v>
      </c>
      <c r="C69" s="774" t="s">
        <v>163</v>
      </c>
      <c r="D69" s="1130">
        <v>57</v>
      </c>
      <c r="E69" s="1217"/>
      <c r="F69" s="1218"/>
      <c r="G69" s="1219"/>
      <c r="H69" s="1220"/>
      <c r="I69" s="1274"/>
      <c r="J69" s="1218"/>
      <c r="K69" s="1219"/>
      <c r="L69" s="1218"/>
      <c r="M69" s="1275"/>
      <c r="N69" s="1276">
        <f t="shared" si="39"/>
        <v>0</v>
      </c>
      <c r="O69" s="1277"/>
      <c r="P69" s="1278"/>
      <c r="Q69" s="1218"/>
      <c r="R69" s="1219"/>
      <c r="S69" s="1220"/>
      <c r="T69" s="1274"/>
      <c r="U69" s="1218"/>
      <c r="V69" s="1219"/>
      <c r="W69" s="1218"/>
      <c r="X69" s="1447"/>
      <c r="Y69" s="1279">
        <f t="shared" si="23"/>
        <v>0</v>
      </c>
      <c r="Z69" s="1280">
        <f t="shared" si="11"/>
        <v>0</v>
      </c>
      <c r="AA69" s="1281">
        <f t="shared" si="37"/>
        <v>0</v>
      </c>
      <c r="AB69" s="1280">
        <f t="shared" si="38"/>
        <v>0</v>
      </c>
      <c r="AC69" s="1282"/>
      <c r="AD69" s="1283">
        <f t="shared" si="40"/>
        <v>0</v>
      </c>
      <c r="AE69" s="1284"/>
      <c r="AF69" s="1284"/>
      <c r="AG69" s="1285"/>
      <c r="AH69" s="1163" t="str">
        <f>IF(I69&gt;0,IF(AND(O69&gt;0,O69&lt;0.15,AE69&gt;0,AE69&lt;0.15,AF69&gt;0,AF69&lt;0.15,AG69&gt;0,AG69&lt;0.15),"","ЗЖДХ болон дээд хүүг сараар шивнэ үү."),"")</f>
        <v/>
      </c>
    </row>
    <row r="70" spans="1:34">
      <c r="A70" s="1441"/>
      <c r="B70" s="1166">
        <v>2</v>
      </c>
      <c r="C70" s="1144" t="s">
        <v>574</v>
      </c>
      <c r="D70" s="1130">
        <v>58</v>
      </c>
      <c r="E70" s="1168"/>
      <c r="F70" s="1177"/>
      <c r="G70" s="1170"/>
      <c r="H70" s="1172"/>
      <c r="I70" s="1286"/>
      <c r="J70" s="1177"/>
      <c r="K70" s="1170"/>
      <c r="L70" s="1177"/>
      <c r="M70" s="1287"/>
      <c r="N70" s="1288">
        <f t="shared" si="39"/>
        <v>0</v>
      </c>
      <c r="O70" s="1289"/>
      <c r="P70" s="1290"/>
      <c r="Q70" s="1177"/>
      <c r="R70" s="1170"/>
      <c r="S70" s="1172"/>
      <c r="T70" s="1286"/>
      <c r="U70" s="1177"/>
      <c r="V70" s="1170"/>
      <c r="W70" s="1177"/>
      <c r="X70" s="1447"/>
      <c r="Y70" s="1291">
        <f t="shared" si="23"/>
        <v>0</v>
      </c>
      <c r="Z70" s="1175">
        <f t="shared" si="11"/>
        <v>0</v>
      </c>
      <c r="AA70" s="1176">
        <f t="shared" si="37"/>
        <v>0</v>
      </c>
      <c r="AB70" s="1175">
        <f t="shared" si="38"/>
        <v>0</v>
      </c>
      <c r="AC70" s="1292"/>
      <c r="AD70" s="1293">
        <f t="shared" si="40"/>
        <v>0</v>
      </c>
      <c r="AE70" s="1294"/>
      <c r="AF70" s="1294"/>
      <c r="AG70" s="1295"/>
      <c r="AH70" s="1163" t="str">
        <f>IF(I70&gt;0,IF(AND(O70&gt;0,O70&lt;0.15,AE70&gt;0,AE70&lt;0.15,AF70&gt;0,AF70&lt;0.15,AG70&gt;0,AG70&lt;0.15),"","ЗЖДХ болон дээд хүүг сараар шивнэ үү."),"")</f>
        <v/>
      </c>
    </row>
    <row r="71" spans="1:34">
      <c r="A71" s="1441"/>
      <c r="B71" s="1166">
        <v>3</v>
      </c>
      <c r="C71" s="1144" t="s">
        <v>575</v>
      </c>
      <c r="D71" s="1130">
        <v>59</v>
      </c>
      <c r="E71" s="1168"/>
      <c r="F71" s="1177"/>
      <c r="G71" s="1170"/>
      <c r="H71" s="1172"/>
      <c r="I71" s="1286"/>
      <c r="J71" s="1177"/>
      <c r="K71" s="1170"/>
      <c r="L71" s="1177"/>
      <c r="M71" s="1287"/>
      <c r="N71" s="1288">
        <f t="shared" si="39"/>
        <v>0</v>
      </c>
      <c r="O71" s="1289"/>
      <c r="P71" s="1290"/>
      <c r="Q71" s="1177"/>
      <c r="R71" s="1170"/>
      <c r="S71" s="1172"/>
      <c r="T71" s="1286"/>
      <c r="U71" s="1177"/>
      <c r="V71" s="1170"/>
      <c r="W71" s="1177"/>
      <c r="X71" s="1447"/>
      <c r="Y71" s="1291">
        <f t="shared" si="23"/>
        <v>0</v>
      </c>
      <c r="Z71" s="1175">
        <f t="shared" si="11"/>
        <v>0</v>
      </c>
      <c r="AA71" s="1176">
        <f t="shared" si="37"/>
        <v>0</v>
      </c>
      <c r="AB71" s="1175">
        <f t="shared" si="38"/>
        <v>0</v>
      </c>
      <c r="AC71" s="1292"/>
      <c r="AD71" s="1293">
        <f t="shared" si="40"/>
        <v>0</v>
      </c>
      <c r="AE71" s="1294"/>
      <c r="AF71" s="1294"/>
      <c r="AG71" s="1295"/>
      <c r="AH71" s="1163" t="str">
        <f>IF(I71&gt;0,IF(AND(O71&gt;0,O71&lt;0.15,AE71&gt;0,AE71&lt;0.15,AF71&gt;0,AF71&lt;0.15,AG71&gt;0,AG71&lt;0.15),"","ЗЖДХ болон дээд хүүг сараар шивнэ үү."),"")</f>
        <v/>
      </c>
    </row>
    <row r="72" spans="1:34">
      <c r="A72" s="1441"/>
      <c r="B72" s="1310">
        <v>4</v>
      </c>
      <c r="C72" s="1244" t="s">
        <v>576</v>
      </c>
      <c r="D72" s="1130">
        <v>60</v>
      </c>
      <c r="E72" s="1245"/>
      <c r="F72" s="1246"/>
      <c r="G72" s="1173"/>
      <c r="H72" s="1247"/>
      <c r="I72" s="1297"/>
      <c r="J72" s="1246"/>
      <c r="K72" s="1173"/>
      <c r="L72" s="1246"/>
      <c r="M72" s="1298"/>
      <c r="N72" s="1299">
        <f t="shared" si="39"/>
        <v>0</v>
      </c>
      <c r="O72" s="1300"/>
      <c r="P72" s="1301"/>
      <c r="Q72" s="1246"/>
      <c r="R72" s="1173"/>
      <c r="S72" s="1247"/>
      <c r="T72" s="1297"/>
      <c r="U72" s="1246"/>
      <c r="V72" s="1173"/>
      <c r="W72" s="1246"/>
      <c r="X72" s="1447"/>
      <c r="Y72" s="1312">
        <f t="shared" si="23"/>
        <v>0</v>
      </c>
      <c r="Z72" s="1187">
        <f t="shared" si="11"/>
        <v>0</v>
      </c>
      <c r="AA72" s="1313">
        <f t="shared" si="37"/>
        <v>0</v>
      </c>
      <c r="AB72" s="1187">
        <f t="shared" si="38"/>
        <v>0</v>
      </c>
      <c r="AC72" s="1314"/>
      <c r="AD72" s="1315">
        <f t="shared" si="40"/>
        <v>0</v>
      </c>
      <c r="AE72" s="1316"/>
      <c r="AF72" s="1316"/>
      <c r="AG72" s="1317"/>
      <c r="AH72" s="1163" t="str">
        <f>IF(I72&gt;0,IF(AND(O72&gt;0,O72&lt;0.15,AE72&gt;0,AE72&lt;0.15,AF72&gt;0,AF72&lt;0.15,AG72&gt;0,AG72&lt;0.15),"","ЗЖДХ болон дээд хүүг сараар шивнэ үү."),"")</f>
        <v/>
      </c>
    </row>
    <row r="73" spans="1:34" ht="25.5">
      <c r="A73" s="1440" t="s">
        <v>42</v>
      </c>
      <c r="B73" s="1311">
        <v>26</v>
      </c>
      <c r="C73" s="776" t="s">
        <v>610</v>
      </c>
      <c r="D73" s="1130">
        <v>61</v>
      </c>
      <c r="E73" s="1261">
        <f t="shared" ref="E73:W73" si="107">+SUM(E74:E77)</f>
        <v>0</v>
      </c>
      <c r="F73" s="1262">
        <f t="shared" ref="F73" si="108">+SUM(F74:F77)</f>
        <v>0</v>
      </c>
      <c r="G73" s="1263">
        <f t="shared" si="107"/>
        <v>0</v>
      </c>
      <c r="H73" s="1264">
        <f t="shared" ref="H73" si="109">+SUM(H74:H77)</f>
        <v>0</v>
      </c>
      <c r="I73" s="1261">
        <f t="shared" si="107"/>
        <v>0</v>
      </c>
      <c r="J73" s="1262">
        <f t="shared" ref="J73" si="110">+SUM(J74:J77)</f>
        <v>0</v>
      </c>
      <c r="K73" s="1263">
        <f t="shared" si="107"/>
        <v>0</v>
      </c>
      <c r="L73" s="1262">
        <f t="shared" ref="L73" si="111">+SUM(L74:L77)</f>
        <v>0</v>
      </c>
      <c r="M73" s="1263" t="str">
        <f>IFERROR(AVERAGE(M74:M77),"")</f>
        <v/>
      </c>
      <c r="N73" s="1265">
        <f t="shared" ref="N73" si="112">+SUM(N74:N77)</f>
        <v>0</v>
      </c>
      <c r="O73" s="1309" t="e">
        <f>(I74*O74+I75*O75+I76*O76+I77*O77)/I73</f>
        <v>#DIV/0!</v>
      </c>
      <c r="P73" s="1261">
        <f t="shared" si="107"/>
        <v>0</v>
      </c>
      <c r="Q73" s="1262">
        <f t="shared" ref="Q73" si="113">+SUM(Q74:Q77)</f>
        <v>0</v>
      </c>
      <c r="R73" s="1263">
        <f t="shared" si="107"/>
        <v>0</v>
      </c>
      <c r="S73" s="1264">
        <f t="shared" ref="S73" si="114">+SUM(S74:S77)</f>
        <v>0</v>
      </c>
      <c r="T73" s="1261">
        <f t="shared" si="107"/>
        <v>0</v>
      </c>
      <c r="U73" s="1262">
        <f t="shared" ref="U73" si="115">+SUM(U74:U77)</f>
        <v>0</v>
      </c>
      <c r="V73" s="1263">
        <f t="shared" si="107"/>
        <v>0</v>
      </c>
      <c r="W73" s="1262">
        <f t="shared" si="107"/>
        <v>0</v>
      </c>
      <c r="X73" s="1447"/>
      <c r="Y73" s="1261">
        <f t="shared" si="23"/>
        <v>0</v>
      </c>
      <c r="Z73" s="1268">
        <f t="shared" si="11"/>
        <v>0</v>
      </c>
      <c r="AA73" s="1263">
        <f t="shared" si="37"/>
        <v>0</v>
      </c>
      <c r="AB73" s="1268">
        <f t="shared" si="38"/>
        <v>0</v>
      </c>
      <c r="AC73" s="1212" t="str">
        <f>IFERROR(AVERAGE(AC74:AC77),"")</f>
        <v/>
      </c>
      <c r="AD73" s="1320">
        <f t="shared" ref="AD73" si="116">+SUM(AD74:AD77)</f>
        <v>0</v>
      </c>
      <c r="AE73" s="1309" t="e">
        <f>(Y74*AE74+Y75*AE75+Y76*AE76+Y77*AE77)/Y73</f>
        <v>#DIV/0!</v>
      </c>
      <c r="AF73" s="1271">
        <f>+MAX(AF74:AF77)</f>
        <v>0</v>
      </c>
      <c r="AG73" s="1272">
        <f t="array" ref="AG73">+MIN(IF(AG74:AG77&gt;0,AG74:AG77))</f>
        <v>0</v>
      </c>
      <c r="AH73" s="1163" t="str">
        <f>IF(SUM(Y74:Y77)&gt;0,IF(SUM(Z74:Z77)=0,"Зээлдэгчийн тоог бүрэн шивнэ үү.",""),"")</f>
        <v/>
      </c>
    </row>
    <row r="74" spans="1:34">
      <c r="A74" s="1441"/>
      <c r="B74" s="1273">
        <v>1</v>
      </c>
      <c r="C74" s="774" t="s">
        <v>163</v>
      </c>
      <c r="D74" s="1130">
        <v>62</v>
      </c>
      <c r="E74" s="1217"/>
      <c r="F74" s="1218"/>
      <c r="G74" s="1219"/>
      <c r="H74" s="1220"/>
      <c r="I74" s="1274"/>
      <c r="J74" s="1218"/>
      <c r="K74" s="1219"/>
      <c r="L74" s="1218"/>
      <c r="M74" s="1275"/>
      <c r="N74" s="1276">
        <f t="shared" si="39"/>
        <v>0</v>
      </c>
      <c r="O74" s="1277"/>
      <c r="P74" s="1278"/>
      <c r="Q74" s="1218"/>
      <c r="R74" s="1219"/>
      <c r="S74" s="1220"/>
      <c r="T74" s="1274"/>
      <c r="U74" s="1218"/>
      <c r="V74" s="1219"/>
      <c r="W74" s="1218"/>
      <c r="X74" s="1447"/>
      <c r="Y74" s="1279">
        <f t="shared" si="23"/>
        <v>0</v>
      </c>
      <c r="Z74" s="1280">
        <f t="shared" si="11"/>
        <v>0</v>
      </c>
      <c r="AA74" s="1281">
        <f t="shared" si="37"/>
        <v>0</v>
      </c>
      <c r="AB74" s="1280">
        <f t="shared" si="38"/>
        <v>0</v>
      </c>
      <c r="AC74" s="1282"/>
      <c r="AD74" s="1283">
        <f t="shared" si="40"/>
        <v>0</v>
      </c>
      <c r="AE74" s="1284"/>
      <c r="AF74" s="1284"/>
      <c r="AG74" s="1285"/>
      <c r="AH74" s="1163" t="str">
        <f>IF(I74&gt;0,IF(AND(O74&gt;0,O74&lt;0.15,AE74&gt;0,AE74&lt;0.15,AF74&gt;0,AF74&lt;0.15,AG74&gt;0,AG74&lt;0.15),"","ЗЖДХ болон дээд хүүг сараар шивнэ үү."),"")</f>
        <v/>
      </c>
    </row>
    <row r="75" spans="1:34">
      <c r="A75" s="1441"/>
      <c r="B75" s="1166">
        <v>2</v>
      </c>
      <c r="C75" s="1144" t="s">
        <v>574</v>
      </c>
      <c r="D75" s="1130">
        <v>63</v>
      </c>
      <c r="E75" s="1168"/>
      <c r="F75" s="1177"/>
      <c r="G75" s="1170"/>
      <c r="H75" s="1172"/>
      <c r="I75" s="1286"/>
      <c r="J75" s="1177"/>
      <c r="K75" s="1170"/>
      <c r="L75" s="1177"/>
      <c r="M75" s="1287"/>
      <c r="N75" s="1288">
        <f t="shared" si="39"/>
        <v>0</v>
      </c>
      <c r="O75" s="1289"/>
      <c r="P75" s="1290"/>
      <c r="Q75" s="1177"/>
      <c r="R75" s="1170"/>
      <c r="S75" s="1172"/>
      <c r="T75" s="1286"/>
      <c r="U75" s="1177"/>
      <c r="V75" s="1170"/>
      <c r="W75" s="1177"/>
      <c r="X75" s="1447"/>
      <c r="Y75" s="1291">
        <f t="shared" si="23"/>
        <v>0</v>
      </c>
      <c r="Z75" s="1175">
        <f t="shared" si="11"/>
        <v>0</v>
      </c>
      <c r="AA75" s="1176">
        <f t="shared" si="37"/>
        <v>0</v>
      </c>
      <c r="AB75" s="1175">
        <f t="shared" si="38"/>
        <v>0</v>
      </c>
      <c r="AC75" s="1292"/>
      <c r="AD75" s="1293">
        <f t="shared" si="40"/>
        <v>0</v>
      </c>
      <c r="AE75" s="1294"/>
      <c r="AF75" s="1294"/>
      <c r="AG75" s="1295"/>
      <c r="AH75" s="1163" t="str">
        <f>IF(I75&gt;0,IF(AND(O75&gt;0,O75&lt;0.15,AE75&gt;0,AE75&lt;0.15,AF75&gt;0,AF75&lt;0.15,AG75&gt;0,AG75&lt;0.15),"","ЗЖДХ болон дээд хүүг сараар шивнэ үү."),"")</f>
        <v/>
      </c>
    </row>
    <row r="76" spans="1:34">
      <c r="A76" s="1441"/>
      <c r="B76" s="1166">
        <v>3</v>
      </c>
      <c r="C76" s="1144" t="s">
        <v>575</v>
      </c>
      <c r="D76" s="1130">
        <v>64</v>
      </c>
      <c r="E76" s="1168"/>
      <c r="F76" s="1177"/>
      <c r="G76" s="1170"/>
      <c r="H76" s="1172"/>
      <c r="I76" s="1286"/>
      <c r="J76" s="1177"/>
      <c r="K76" s="1170"/>
      <c r="L76" s="1177"/>
      <c r="M76" s="1287"/>
      <c r="N76" s="1288">
        <f t="shared" si="39"/>
        <v>0</v>
      </c>
      <c r="O76" s="1289"/>
      <c r="P76" s="1290"/>
      <c r="Q76" s="1177"/>
      <c r="R76" s="1170"/>
      <c r="S76" s="1172"/>
      <c r="T76" s="1286"/>
      <c r="U76" s="1177"/>
      <c r="V76" s="1170"/>
      <c r="W76" s="1177"/>
      <c r="X76" s="1447"/>
      <c r="Y76" s="1291">
        <f t="shared" si="23"/>
        <v>0</v>
      </c>
      <c r="Z76" s="1175">
        <f t="shared" si="11"/>
        <v>0</v>
      </c>
      <c r="AA76" s="1176">
        <f t="shared" si="37"/>
        <v>0</v>
      </c>
      <c r="AB76" s="1175">
        <f t="shared" si="38"/>
        <v>0</v>
      </c>
      <c r="AC76" s="1292"/>
      <c r="AD76" s="1293">
        <f t="shared" si="40"/>
        <v>0</v>
      </c>
      <c r="AE76" s="1294"/>
      <c r="AF76" s="1294"/>
      <c r="AG76" s="1295"/>
      <c r="AH76" s="1163" t="str">
        <f>IF(I76&gt;0,IF(AND(O76&gt;0,O76&lt;0.15,AE76&gt;0,AE76&lt;0.15,AF76&gt;0,AF76&lt;0.15,AG76&gt;0,AG76&lt;0.15),"","ЗЖДХ болон дээд хүүг сараар шивнэ үү."),"")</f>
        <v/>
      </c>
    </row>
    <row r="77" spans="1:34">
      <c r="A77" s="1441"/>
      <c r="B77" s="1310">
        <v>4</v>
      </c>
      <c r="C77" s="1244" t="s">
        <v>576</v>
      </c>
      <c r="D77" s="1130">
        <v>65</v>
      </c>
      <c r="E77" s="1245"/>
      <c r="F77" s="1246"/>
      <c r="G77" s="1173"/>
      <c r="H77" s="1247"/>
      <c r="I77" s="1297"/>
      <c r="J77" s="1246"/>
      <c r="K77" s="1173"/>
      <c r="L77" s="1246"/>
      <c r="M77" s="1298"/>
      <c r="N77" s="1299">
        <f t="shared" si="39"/>
        <v>0</v>
      </c>
      <c r="O77" s="1300"/>
      <c r="P77" s="1301"/>
      <c r="Q77" s="1246"/>
      <c r="R77" s="1173"/>
      <c r="S77" s="1247"/>
      <c r="T77" s="1297"/>
      <c r="U77" s="1246"/>
      <c r="V77" s="1173"/>
      <c r="W77" s="1246"/>
      <c r="X77" s="1447"/>
      <c r="Y77" s="1312">
        <f t="shared" si="23"/>
        <v>0</v>
      </c>
      <c r="Z77" s="1187">
        <f t="shared" si="11"/>
        <v>0</v>
      </c>
      <c r="AA77" s="1313">
        <f t="shared" si="37"/>
        <v>0</v>
      </c>
      <c r="AB77" s="1187">
        <f t="shared" si="38"/>
        <v>0</v>
      </c>
      <c r="AC77" s="1314"/>
      <c r="AD77" s="1315">
        <f t="shared" si="40"/>
        <v>0</v>
      </c>
      <c r="AE77" s="1305"/>
      <c r="AF77" s="1316"/>
      <c r="AG77" s="1317"/>
      <c r="AH77" s="1163" t="str">
        <f>IF(I77&gt;0,IF(AND(O77&gt;0,O77&lt;0.15,AE77&gt;0,AE77&lt;0.15,AF77&gt;0,AF77&lt;0.15,AG77&gt;0,AG77&lt;0.15),"","ЗЖДХ болон дээд хүүг сараар шивнэ үү."),"")</f>
        <v/>
      </c>
    </row>
    <row r="78" spans="1:34">
      <c r="A78" s="1440" t="s">
        <v>611</v>
      </c>
      <c r="B78" s="1311">
        <v>27</v>
      </c>
      <c r="C78" s="777" t="s">
        <v>612</v>
      </c>
      <c r="D78" s="1130">
        <v>66</v>
      </c>
      <c r="E78" s="1261">
        <f t="shared" ref="E78:W78" si="117">+SUM(E79:E82)</f>
        <v>0</v>
      </c>
      <c r="F78" s="1262">
        <f t="shared" ref="F78" si="118">+SUM(F79:F82)</f>
        <v>0</v>
      </c>
      <c r="G78" s="1263">
        <f t="shared" si="117"/>
        <v>0</v>
      </c>
      <c r="H78" s="1264">
        <f t="shared" ref="H78" si="119">+SUM(H79:H82)</f>
        <v>0</v>
      </c>
      <c r="I78" s="1261">
        <f t="shared" si="117"/>
        <v>0</v>
      </c>
      <c r="J78" s="1262">
        <f t="shared" ref="J78" si="120">+SUM(J79:J82)</f>
        <v>0</v>
      </c>
      <c r="K78" s="1263">
        <f t="shared" si="117"/>
        <v>0</v>
      </c>
      <c r="L78" s="1262">
        <f t="shared" ref="L78" si="121">+SUM(L79:L82)</f>
        <v>0</v>
      </c>
      <c r="M78" s="1263" t="str">
        <f>IFERROR(AVERAGE(M79:M82),"")</f>
        <v/>
      </c>
      <c r="N78" s="1265">
        <f t="shared" ref="N78" si="122">+SUM(N79:N82)</f>
        <v>0</v>
      </c>
      <c r="O78" s="1309" t="e">
        <f>(I79*O79+I80*O80+I81*O81+I82*O82)/I78</f>
        <v>#DIV/0!</v>
      </c>
      <c r="P78" s="1261">
        <f t="shared" si="117"/>
        <v>0</v>
      </c>
      <c r="Q78" s="1262">
        <f t="shared" ref="Q78" si="123">+SUM(Q79:Q82)</f>
        <v>0</v>
      </c>
      <c r="R78" s="1263">
        <f t="shared" si="117"/>
        <v>0</v>
      </c>
      <c r="S78" s="1264">
        <f t="shared" ref="S78" si="124">+SUM(S79:S82)</f>
        <v>0</v>
      </c>
      <c r="T78" s="1261">
        <f t="shared" si="117"/>
        <v>0</v>
      </c>
      <c r="U78" s="1262">
        <f t="shared" ref="U78" si="125">+SUM(U79:U82)</f>
        <v>0</v>
      </c>
      <c r="V78" s="1263">
        <f t="shared" si="117"/>
        <v>0</v>
      </c>
      <c r="W78" s="1262">
        <f t="shared" si="117"/>
        <v>0</v>
      </c>
      <c r="X78" s="1447"/>
      <c r="Y78" s="1261">
        <f t="shared" si="23"/>
        <v>0</v>
      </c>
      <c r="Z78" s="1268">
        <f t="shared" si="11"/>
        <v>0</v>
      </c>
      <c r="AA78" s="1263">
        <f t="shared" si="37"/>
        <v>0</v>
      </c>
      <c r="AB78" s="1268">
        <f t="shared" si="38"/>
        <v>0</v>
      </c>
      <c r="AC78" s="1212" t="str">
        <f>IFERROR(AVERAGE(AC79:AC82),"")</f>
        <v/>
      </c>
      <c r="AD78" s="1269">
        <f t="shared" ref="AD78" si="126">+SUM(AD79:AD82)</f>
        <v>0</v>
      </c>
      <c r="AE78" s="1270" t="e">
        <f>(Y79*AE79+Y80*AE80+Y81*AE81+Y82*AE82)/Y78</f>
        <v>#DIV/0!</v>
      </c>
      <c r="AF78" s="1271">
        <f>+MAX(AF79:AF82)</f>
        <v>0</v>
      </c>
      <c r="AG78" s="1272">
        <f t="array" ref="AG78">+MIN(IF(AG79:AG82&gt;0,AG79:AG82))</f>
        <v>0</v>
      </c>
      <c r="AH78" s="1163" t="str">
        <f>IF(SUM(Y79:Y82)&gt;0,IF(SUM(Z79:Z82)=0,"Зээлдэгчийн тоог бүрэн шивнэ үү.",""),"")</f>
        <v/>
      </c>
    </row>
    <row r="79" spans="1:34">
      <c r="A79" s="1441"/>
      <c r="B79" s="1273">
        <v>1</v>
      </c>
      <c r="C79" s="774" t="s">
        <v>163</v>
      </c>
      <c r="D79" s="1130">
        <v>67</v>
      </c>
      <c r="E79" s="1217"/>
      <c r="F79" s="1218"/>
      <c r="G79" s="1219"/>
      <c r="H79" s="1220"/>
      <c r="I79" s="1274"/>
      <c r="J79" s="1218"/>
      <c r="K79" s="1219"/>
      <c r="L79" s="1218"/>
      <c r="M79" s="1275"/>
      <c r="N79" s="1276">
        <f t="shared" si="39"/>
        <v>0</v>
      </c>
      <c r="O79" s="1277"/>
      <c r="P79" s="1278"/>
      <c r="Q79" s="1218"/>
      <c r="R79" s="1219"/>
      <c r="S79" s="1220"/>
      <c r="T79" s="1274"/>
      <c r="U79" s="1218"/>
      <c r="V79" s="1219"/>
      <c r="W79" s="1218"/>
      <c r="X79" s="1447"/>
      <c r="Y79" s="1279">
        <f t="shared" si="23"/>
        <v>0</v>
      </c>
      <c r="Z79" s="1280">
        <f t="shared" si="11"/>
        <v>0</v>
      </c>
      <c r="AA79" s="1281">
        <f t="shared" si="37"/>
        <v>0</v>
      </c>
      <c r="AB79" s="1280">
        <f t="shared" si="38"/>
        <v>0</v>
      </c>
      <c r="AC79" s="1282"/>
      <c r="AD79" s="1283">
        <f t="shared" si="40"/>
        <v>0</v>
      </c>
      <c r="AE79" s="1284"/>
      <c r="AF79" s="1284"/>
      <c r="AG79" s="1285"/>
      <c r="AH79" s="1163" t="str">
        <f>IF(I79&gt;0,IF(AND(O79&gt;0,O79&lt;0.15,AE79&gt;0,AE79&lt;0.15,AF79&gt;0,AF79&lt;0.15,AG79&gt;0,AG79&lt;0.15),"","ЗЖДХ болон дээд хүүг сараар шивнэ үү."),"")</f>
        <v/>
      </c>
    </row>
    <row r="80" spans="1:34">
      <c r="A80" s="1441"/>
      <c r="B80" s="1166">
        <v>2</v>
      </c>
      <c r="C80" s="1144" t="s">
        <v>574</v>
      </c>
      <c r="D80" s="1130">
        <v>68</v>
      </c>
      <c r="E80" s="1168"/>
      <c r="F80" s="1177"/>
      <c r="G80" s="1170"/>
      <c r="H80" s="1172"/>
      <c r="I80" s="1286"/>
      <c r="J80" s="1177"/>
      <c r="K80" s="1170"/>
      <c r="L80" s="1177"/>
      <c r="M80" s="1287"/>
      <c r="N80" s="1288">
        <f t="shared" si="39"/>
        <v>0</v>
      </c>
      <c r="O80" s="1289"/>
      <c r="P80" s="1290"/>
      <c r="Q80" s="1177"/>
      <c r="R80" s="1170"/>
      <c r="S80" s="1172"/>
      <c r="T80" s="1286"/>
      <c r="U80" s="1177"/>
      <c r="V80" s="1170"/>
      <c r="W80" s="1177"/>
      <c r="X80" s="1447"/>
      <c r="Y80" s="1291">
        <f t="shared" si="23"/>
        <v>0</v>
      </c>
      <c r="Z80" s="1175">
        <f t="shared" ref="Z80:Z143" si="127">+F80+J80-U80</f>
        <v>0</v>
      </c>
      <c r="AA80" s="1176">
        <f t="shared" si="37"/>
        <v>0</v>
      </c>
      <c r="AB80" s="1175">
        <f t="shared" si="38"/>
        <v>0</v>
      </c>
      <c r="AC80" s="1292"/>
      <c r="AD80" s="1293">
        <f t="shared" si="40"/>
        <v>0</v>
      </c>
      <c r="AE80" s="1294"/>
      <c r="AF80" s="1294"/>
      <c r="AG80" s="1295"/>
      <c r="AH80" s="1163" t="str">
        <f>IF(I80&gt;0,IF(AND(O80&gt;0,O80&lt;0.15,AE80&gt;0,AE80&lt;0.15,AF80&gt;0,AF80&lt;0.15,AG80&gt;0,AG80&lt;0.15),"","ЗЖДХ болон дээд хүүг сараар шивнэ үү."),"")</f>
        <v/>
      </c>
    </row>
    <row r="81" spans="1:34">
      <c r="A81" s="1441"/>
      <c r="B81" s="1166">
        <v>3</v>
      </c>
      <c r="C81" s="1144" t="s">
        <v>575</v>
      </c>
      <c r="D81" s="1130">
        <v>69</v>
      </c>
      <c r="E81" s="1168"/>
      <c r="F81" s="1177"/>
      <c r="G81" s="1170"/>
      <c r="H81" s="1172"/>
      <c r="I81" s="1286"/>
      <c r="J81" s="1177"/>
      <c r="K81" s="1170"/>
      <c r="L81" s="1177"/>
      <c r="M81" s="1287"/>
      <c r="N81" s="1288">
        <f t="shared" si="39"/>
        <v>0</v>
      </c>
      <c r="O81" s="1289"/>
      <c r="P81" s="1290"/>
      <c r="Q81" s="1177"/>
      <c r="R81" s="1170"/>
      <c r="S81" s="1172"/>
      <c r="T81" s="1286"/>
      <c r="U81" s="1177"/>
      <c r="V81" s="1170"/>
      <c r="W81" s="1177"/>
      <c r="X81" s="1447"/>
      <c r="Y81" s="1291">
        <f t="shared" si="23"/>
        <v>0</v>
      </c>
      <c r="Z81" s="1175">
        <f t="shared" si="127"/>
        <v>0</v>
      </c>
      <c r="AA81" s="1176">
        <f t="shared" si="37"/>
        <v>0</v>
      </c>
      <c r="AB81" s="1175">
        <f t="shared" si="38"/>
        <v>0</v>
      </c>
      <c r="AC81" s="1292"/>
      <c r="AD81" s="1293">
        <f t="shared" si="40"/>
        <v>0</v>
      </c>
      <c r="AE81" s="1294"/>
      <c r="AF81" s="1294"/>
      <c r="AG81" s="1295"/>
      <c r="AH81" s="1163" t="str">
        <f>IF(I81&gt;0,IF(AND(O81&gt;0,O81&lt;0.15,AE81&gt;0,AE81&lt;0.15,AF81&gt;0,AF81&lt;0.15,AG81&gt;0,AG81&lt;0.15),"","ЗЖДХ болон дээд хүүг сараар шивнэ үү."),"")</f>
        <v/>
      </c>
    </row>
    <row r="82" spans="1:34">
      <c r="A82" s="1441"/>
      <c r="B82" s="1310">
        <v>4</v>
      </c>
      <c r="C82" s="1244" t="s">
        <v>576</v>
      </c>
      <c r="D82" s="1130">
        <v>70</v>
      </c>
      <c r="E82" s="1245"/>
      <c r="F82" s="1246"/>
      <c r="G82" s="1173"/>
      <c r="H82" s="1247"/>
      <c r="I82" s="1297"/>
      <c r="J82" s="1246"/>
      <c r="K82" s="1173"/>
      <c r="L82" s="1246"/>
      <c r="M82" s="1298"/>
      <c r="N82" s="1299">
        <f t="shared" si="39"/>
        <v>0</v>
      </c>
      <c r="O82" s="1319"/>
      <c r="P82" s="1301"/>
      <c r="Q82" s="1246"/>
      <c r="R82" s="1173"/>
      <c r="S82" s="1247"/>
      <c r="T82" s="1297"/>
      <c r="U82" s="1246"/>
      <c r="V82" s="1173"/>
      <c r="W82" s="1246"/>
      <c r="X82" s="1447"/>
      <c r="Y82" s="1312">
        <f t="shared" ref="Y82:Y145" si="128">ROUND(SUM(E82,I82,-P82,-T82),2)</f>
        <v>0</v>
      </c>
      <c r="Z82" s="1187">
        <f t="shared" si="127"/>
        <v>0</v>
      </c>
      <c r="AA82" s="1313">
        <f t="shared" si="37"/>
        <v>0</v>
      </c>
      <c r="AB82" s="1187">
        <f t="shared" si="38"/>
        <v>0</v>
      </c>
      <c r="AC82" s="1314"/>
      <c r="AD82" s="1315">
        <f t="shared" si="40"/>
        <v>0</v>
      </c>
      <c r="AE82" s="1305"/>
      <c r="AF82" s="1316"/>
      <c r="AG82" s="1317"/>
      <c r="AH82" s="1163" t="str">
        <f>IF(I82&gt;0,IF(AND(O82&gt;0,O82&lt;0.15,AE82&gt;0,AE82&lt;0.15,AF82&gt;0,AF82&lt;0.15,AG82&gt;0,AG82&lt;0.15),"","ЗЖДХ болон дээд хүүг сараар шивнэ үү."),"")</f>
        <v/>
      </c>
    </row>
    <row r="83" spans="1:34">
      <c r="A83" s="1440" t="s">
        <v>613</v>
      </c>
      <c r="B83" s="1311">
        <v>28</v>
      </c>
      <c r="C83" s="777" t="s">
        <v>614</v>
      </c>
      <c r="D83" s="1130">
        <v>71</v>
      </c>
      <c r="E83" s="1261">
        <f t="shared" ref="E83:W83" si="129">+SUM(E84:E87)</f>
        <v>0</v>
      </c>
      <c r="F83" s="1262">
        <f t="shared" ref="F83" si="130">+SUM(F84:F87)</f>
        <v>0</v>
      </c>
      <c r="G83" s="1263">
        <f t="shared" si="129"/>
        <v>0</v>
      </c>
      <c r="H83" s="1264">
        <f t="shared" ref="H83" si="131">+SUM(H84:H87)</f>
        <v>0</v>
      </c>
      <c r="I83" s="1261">
        <f t="shared" si="129"/>
        <v>0</v>
      </c>
      <c r="J83" s="1262">
        <f t="shared" ref="J83" si="132">+SUM(J84:J87)</f>
        <v>0</v>
      </c>
      <c r="K83" s="1263">
        <f t="shared" si="129"/>
        <v>0</v>
      </c>
      <c r="L83" s="1262">
        <f t="shared" ref="L83" si="133">+SUM(L84:L87)</f>
        <v>0</v>
      </c>
      <c r="M83" s="1263" t="str">
        <f>IFERROR(AVERAGE(M84:M87),"")</f>
        <v/>
      </c>
      <c r="N83" s="1206">
        <f t="shared" ref="N83" si="134">+SUM(N84:N87)</f>
        <v>0</v>
      </c>
      <c r="O83" s="1270" t="e">
        <f>(I84*O84+I85*O85+I86*O86+I87*O87)/I83</f>
        <v>#DIV/0!</v>
      </c>
      <c r="P83" s="1261">
        <f t="shared" si="129"/>
        <v>0</v>
      </c>
      <c r="Q83" s="1262">
        <f t="shared" ref="Q83" si="135">+SUM(Q84:Q87)</f>
        <v>0</v>
      </c>
      <c r="R83" s="1263">
        <f t="shared" si="129"/>
        <v>0</v>
      </c>
      <c r="S83" s="1264">
        <f t="shared" ref="S83" si="136">+SUM(S84:S87)</f>
        <v>0</v>
      </c>
      <c r="T83" s="1261">
        <f t="shared" si="129"/>
        <v>0</v>
      </c>
      <c r="U83" s="1262">
        <f t="shared" ref="U83" si="137">+SUM(U84:U87)</f>
        <v>0</v>
      </c>
      <c r="V83" s="1263">
        <f t="shared" si="129"/>
        <v>0</v>
      </c>
      <c r="W83" s="1262">
        <f t="shared" si="129"/>
        <v>0</v>
      </c>
      <c r="X83" s="1447"/>
      <c r="Y83" s="1261">
        <f t="shared" si="128"/>
        <v>0</v>
      </c>
      <c r="Z83" s="1268">
        <f t="shared" si="127"/>
        <v>0</v>
      </c>
      <c r="AA83" s="1263">
        <f t="shared" si="37"/>
        <v>0</v>
      </c>
      <c r="AB83" s="1268">
        <f t="shared" si="38"/>
        <v>0</v>
      </c>
      <c r="AC83" s="1212" t="str">
        <f>IFERROR(AVERAGE(AC84:AC87),"")</f>
        <v/>
      </c>
      <c r="AD83" s="1269">
        <f t="shared" ref="AD83" si="138">+SUM(AD84:AD87)</f>
        <v>0</v>
      </c>
      <c r="AE83" s="1270" t="e">
        <f>(Y84*AE84+Y85*AE85+Y86*AE86+Y87*AE87)/Y83</f>
        <v>#DIV/0!</v>
      </c>
      <c r="AF83" s="1271">
        <f>+MAX(AF84:AF87)</f>
        <v>0</v>
      </c>
      <c r="AG83" s="1272">
        <f t="array" ref="AG83">+MIN(IF(AG84:AG87&gt;0,AG84:AG87))</f>
        <v>0</v>
      </c>
      <c r="AH83" s="1163" t="str">
        <f>IF(SUM(Y84:Y87)&gt;0,IF(SUM(Z84:Z87)=0,"Зээлдэгчийн тоог бүрэн шивнэ үү.",""),"")</f>
        <v/>
      </c>
    </row>
    <row r="84" spans="1:34">
      <c r="A84" s="1441"/>
      <c r="B84" s="1273">
        <v>1</v>
      </c>
      <c r="C84" s="774" t="s">
        <v>163</v>
      </c>
      <c r="D84" s="1130">
        <v>72</v>
      </c>
      <c r="E84" s="1217"/>
      <c r="F84" s="1218"/>
      <c r="G84" s="1219"/>
      <c r="H84" s="1220"/>
      <c r="I84" s="1274"/>
      <c r="J84" s="1218"/>
      <c r="K84" s="1219"/>
      <c r="L84" s="1218"/>
      <c r="M84" s="1275"/>
      <c r="N84" s="1276">
        <f t="shared" si="39"/>
        <v>0</v>
      </c>
      <c r="O84" s="1277"/>
      <c r="P84" s="1278"/>
      <c r="Q84" s="1218"/>
      <c r="R84" s="1219"/>
      <c r="S84" s="1220"/>
      <c r="T84" s="1274"/>
      <c r="U84" s="1218"/>
      <c r="V84" s="1219"/>
      <c r="W84" s="1218"/>
      <c r="X84" s="1447"/>
      <c r="Y84" s="1279">
        <f t="shared" si="128"/>
        <v>0</v>
      </c>
      <c r="Z84" s="1280">
        <f t="shared" si="127"/>
        <v>0</v>
      </c>
      <c r="AA84" s="1281">
        <f t="shared" si="37"/>
        <v>0</v>
      </c>
      <c r="AB84" s="1280">
        <f t="shared" si="38"/>
        <v>0</v>
      </c>
      <c r="AC84" s="1282"/>
      <c r="AD84" s="1283">
        <f t="shared" si="40"/>
        <v>0</v>
      </c>
      <c r="AE84" s="1284"/>
      <c r="AF84" s="1284"/>
      <c r="AG84" s="1285"/>
      <c r="AH84" s="1163" t="str">
        <f>IF(I84&gt;0,IF(AND(O84&gt;0,O84&lt;0.15,AE84&gt;0,AE84&lt;0.15,AF84&gt;0,AF84&lt;0.15,AG84&gt;0,AG84&lt;0.15),"","ЗЖДХ болон дээд хүүг сараар шивнэ үү."),"")</f>
        <v/>
      </c>
    </row>
    <row r="85" spans="1:34">
      <c r="A85" s="1441"/>
      <c r="B85" s="1166">
        <v>2</v>
      </c>
      <c r="C85" s="1144" t="s">
        <v>574</v>
      </c>
      <c r="D85" s="1130">
        <v>73</v>
      </c>
      <c r="E85" s="1168"/>
      <c r="F85" s="1177"/>
      <c r="G85" s="1170"/>
      <c r="H85" s="1172"/>
      <c r="I85" s="1286"/>
      <c r="J85" s="1177"/>
      <c r="K85" s="1170"/>
      <c r="L85" s="1177"/>
      <c r="M85" s="1287"/>
      <c r="N85" s="1288">
        <f t="shared" si="39"/>
        <v>0</v>
      </c>
      <c r="O85" s="1289"/>
      <c r="P85" s="1290"/>
      <c r="Q85" s="1177"/>
      <c r="R85" s="1170"/>
      <c r="S85" s="1172"/>
      <c r="T85" s="1286"/>
      <c r="U85" s="1177"/>
      <c r="V85" s="1170"/>
      <c r="W85" s="1177"/>
      <c r="X85" s="1447"/>
      <c r="Y85" s="1291">
        <f t="shared" si="128"/>
        <v>0</v>
      </c>
      <c r="Z85" s="1175">
        <f t="shared" si="127"/>
        <v>0</v>
      </c>
      <c r="AA85" s="1176">
        <f t="shared" si="37"/>
        <v>0</v>
      </c>
      <c r="AB85" s="1175">
        <f t="shared" si="38"/>
        <v>0</v>
      </c>
      <c r="AC85" s="1292"/>
      <c r="AD85" s="1293">
        <f t="shared" si="40"/>
        <v>0</v>
      </c>
      <c r="AE85" s="1294"/>
      <c r="AF85" s="1294"/>
      <c r="AG85" s="1295"/>
      <c r="AH85" s="1163" t="str">
        <f>IF(I85&gt;0,IF(AND(O85&gt;0,O85&lt;0.15,AE85&gt;0,AE85&lt;0.15,AF85&gt;0,AF85&lt;0.15,AG85&gt;0,AG85&lt;0.15),"","ЗЖДХ болон дээд хүүг сараар шивнэ үү."),"")</f>
        <v/>
      </c>
    </row>
    <row r="86" spans="1:34">
      <c r="A86" s="1441"/>
      <c r="B86" s="1166">
        <v>3</v>
      </c>
      <c r="C86" s="1144" t="s">
        <v>575</v>
      </c>
      <c r="D86" s="1130">
        <v>74</v>
      </c>
      <c r="E86" s="1168"/>
      <c r="F86" s="1177"/>
      <c r="G86" s="1170"/>
      <c r="H86" s="1172"/>
      <c r="I86" s="1286"/>
      <c r="J86" s="1177"/>
      <c r="K86" s="1170"/>
      <c r="L86" s="1177"/>
      <c r="M86" s="1287"/>
      <c r="N86" s="1288">
        <f t="shared" si="39"/>
        <v>0</v>
      </c>
      <c r="O86" s="1289"/>
      <c r="P86" s="1290"/>
      <c r="Q86" s="1177"/>
      <c r="R86" s="1170"/>
      <c r="S86" s="1172"/>
      <c r="T86" s="1286"/>
      <c r="U86" s="1177"/>
      <c r="V86" s="1170"/>
      <c r="W86" s="1177"/>
      <c r="X86" s="1447"/>
      <c r="Y86" s="1291">
        <f t="shared" si="128"/>
        <v>0</v>
      </c>
      <c r="Z86" s="1175">
        <f t="shared" si="127"/>
        <v>0</v>
      </c>
      <c r="AA86" s="1176">
        <f t="shared" si="37"/>
        <v>0</v>
      </c>
      <c r="AB86" s="1175">
        <f t="shared" si="38"/>
        <v>0</v>
      </c>
      <c r="AC86" s="1292"/>
      <c r="AD86" s="1293">
        <f t="shared" si="40"/>
        <v>0</v>
      </c>
      <c r="AE86" s="1294"/>
      <c r="AF86" s="1294"/>
      <c r="AG86" s="1295"/>
      <c r="AH86" s="1163" t="str">
        <f>IF(I86&gt;0,IF(AND(O86&gt;0,O86&lt;0.15,AE86&gt;0,AE86&lt;0.15,AF86&gt;0,AF86&lt;0.15,AG86&gt;0,AG86&lt;0.15),"","ЗЖДХ болон дээд хүүг сараар шивнэ үү."),"")</f>
        <v/>
      </c>
    </row>
    <row r="87" spans="1:34">
      <c r="A87" s="1441"/>
      <c r="B87" s="1310">
        <v>4</v>
      </c>
      <c r="C87" s="1244" t="s">
        <v>576</v>
      </c>
      <c r="D87" s="1130">
        <v>75</v>
      </c>
      <c r="E87" s="1245"/>
      <c r="F87" s="1246"/>
      <c r="G87" s="1173"/>
      <c r="H87" s="1247"/>
      <c r="I87" s="1297"/>
      <c r="J87" s="1246"/>
      <c r="K87" s="1173"/>
      <c r="L87" s="1246"/>
      <c r="M87" s="1298"/>
      <c r="N87" s="1299">
        <f t="shared" si="39"/>
        <v>0</v>
      </c>
      <c r="O87" s="1300"/>
      <c r="P87" s="1301"/>
      <c r="Q87" s="1246"/>
      <c r="R87" s="1173"/>
      <c r="S87" s="1247"/>
      <c r="T87" s="1297"/>
      <c r="U87" s="1246"/>
      <c r="V87" s="1173"/>
      <c r="W87" s="1246"/>
      <c r="X87" s="1447"/>
      <c r="Y87" s="1312">
        <f t="shared" si="128"/>
        <v>0</v>
      </c>
      <c r="Z87" s="1187">
        <f t="shared" si="127"/>
        <v>0</v>
      </c>
      <c r="AA87" s="1313">
        <f t="shared" si="37"/>
        <v>0</v>
      </c>
      <c r="AB87" s="1187">
        <f t="shared" si="38"/>
        <v>0</v>
      </c>
      <c r="AC87" s="1314"/>
      <c r="AD87" s="1315">
        <f t="shared" si="40"/>
        <v>0</v>
      </c>
      <c r="AE87" s="1316"/>
      <c r="AF87" s="1316"/>
      <c r="AG87" s="1317"/>
      <c r="AH87" s="1163" t="str">
        <f>IF(I87&gt;0,IF(AND(O87&gt;0,O87&lt;0.15,AE87&gt;0,AE87&lt;0.15,AF87&gt;0,AF87&lt;0.15,AG87&gt;0,AG87&lt;0.15),"","ЗЖДХ болон дээд хүүг сараар шивнэ үү."),"")</f>
        <v/>
      </c>
    </row>
    <row r="88" spans="1:34">
      <c r="A88" s="1440" t="s">
        <v>615</v>
      </c>
      <c r="B88" s="1311">
        <v>29</v>
      </c>
      <c r="C88" s="776" t="s">
        <v>616</v>
      </c>
      <c r="D88" s="1130">
        <v>76</v>
      </c>
      <c r="E88" s="1261">
        <f t="shared" ref="E88:W88" si="139">+SUM(E89:E92)</f>
        <v>0</v>
      </c>
      <c r="F88" s="1262">
        <f t="shared" ref="F88" si="140">+SUM(F89:F92)</f>
        <v>0</v>
      </c>
      <c r="G88" s="1263">
        <f t="shared" si="139"/>
        <v>0</v>
      </c>
      <c r="H88" s="1264">
        <f t="shared" ref="H88" si="141">+SUM(H89:H92)</f>
        <v>0</v>
      </c>
      <c r="I88" s="1261">
        <f t="shared" si="139"/>
        <v>0</v>
      </c>
      <c r="J88" s="1262">
        <f t="shared" ref="J88" si="142">+SUM(J89:J92)</f>
        <v>0</v>
      </c>
      <c r="K88" s="1263">
        <f t="shared" si="139"/>
        <v>0</v>
      </c>
      <c r="L88" s="1262">
        <f t="shared" ref="L88" si="143">+SUM(L89:L92)</f>
        <v>0</v>
      </c>
      <c r="M88" s="1263" t="str">
        <f>IFERROR(AVERAGE(M89:M92),"")</f>
        <v/>
      </c>
      <c r="N88" s="1265">
        <f t="shared" ref="N88" si="144">+SUM(N89:N92)</f>
        <v>0</v>
      </c>
      <c r="O88" s="1309" t="e">
        <f>(I89*O89+I90*O90+I91*O91+I92*O92)/I88</f>
        <v>#DIV/0!</v>
      </c>
      <c r="P88" s="1261">
        <f t="shared" si="139"/>
        <v>0</v>
      </c>
      <c r="Q88" s="1262">
        <f t="shared" ref="Q88" si="145">+SUM(Q89:Q92)</f>
        <v>0</v>
      </c>
      <c r="R88" s="1263">
        <f t="shared" si="139"/>
        <v>0</v>
      </c>
      <c r="S88" s="1264">
        <f t="shared" ref="S88" si="146">+SUM(S89:S92)</f>
        <v>0</v>
      </c>
      <c r="T88" s="1261">
        <f t="shared" si="139"/>
        <v>0</v>
      </c>
      <c r="U88" s="1262">
        <f t="shared" ref="U88" si="147">+SUM(U89:U92)</f>
        <v>0</v>
      </c>
      <c r="V88" s="1263">
        <f t="shared" si="139"/>
        <v>0</v>
      </c>
      <c r="W88" s="1262">
        <f t="shared" si="139"/>
        <v>0</v>
      </c>
      <c r="X88" s="1447"/>
      <c r="Y88" s="1261">
        <f t="shared" si="128"/>
        <v>0</v>
      </c>
      <c r="Z88" s="1268">
        <f t="shared" si="127"/>
        <v>0</v>
      </c>
      <c r="AA88" s="1263">
        <f t="shared" si="37"/>
        <v>0</v>
      </c>
      <c r="AB88" s="1268">
        <f t="shared" si="38"/>
        <v>0</v>
      </c>
      <c r="AC88" s="1212" t="str">
        <f>IFERROR(AVERAGE(AC89:AC92),"")</f>
        <v/>
      </c>
      <c r="AD88" s="1320">
        <f t="shared" ref="AD88" si="148">+SUM(AD89:AD92)</f>
        <v>0</v>
      </c>
      <c r="AE88" s="1309" t="e">
        <f>(Y89*AE89+Y90*AE90+Y91*AE91+Y92*AE92)/Y88</f>
        <v>#DIV/0!</v>
      </c>
      <c r="AF88" s="1271">
        <f>+MAX(AF89:AF92)</f>
        <v>0</v>
      </c>
      <c r="AG88" s="1272">
        <f t="array" ref="AG88">+MIN(IF(AG89:AG92&gt;0,AG89:AG92))</f>
        <v>0</v>
      </c>
      <c r="AH88" s="1163" t="str">
        <f>IF(SUM(Y89:Y92)&gt;0,IF(SUM(Z89:Z92)=0,"Зээлдэгчийн тоог бүрэн шивнэ үү.",""),"")</f>
        <v/>
      </c>
    </row>
    <row r="89" spans="1:34">
      <c r="A89" s="1441"/>
      <c r="B89" s="1273">
        <v>1</v>
      </c>
      <c r="C89" s="774" t="s">
        <v>163</v>
      </c>
      <c r="D89" s="1130">
        <v>77</v>
      </c>
      <c r="E89" s="1217"/>
      <c r="F89" s="1218"/>
      <c r="G89" s="1219"/>
      <c r="H89" s="1220"/>
      <c r="I89" s="1274"/>
      <c r="J89" s="1218"/>
      <c r="K89" s="1219"/>
      <c r="L89" s="1218"/>
      <c r="M89" s="1275"/>
      <c r="N89" s="1276">
        <f t="shared" si="39"/>
        <v>0</v>
      </c>
      <c r="O89" s="1277"/>
      <c r="P89" s="1278"/>
      <c r="Q89" s="1218"/>
      <c r="R89" s="1219"/>
      <c r="S89" s="1220"/>
      <c r="T89" s="1274"/>
      <c r="U89" s="1218"/>
      <c r="V89" s="1219"/>
      <c r="W89" s="1218"/>
      <c r="X89" s="1447"/>
      <c r="Y89" s="1279">
        <f t="shared" si="128"/>
        <v>0</v>
      </c>
      <c r="Z89" s="1280">
        <f t="shared" si="127"/>
        <v>0</v>
      </c>
      <c r="AA89" s="1281">
        <f t="shared" si="37"/>
        <v>0</v>
      </c>
      <c r="AB89" s="1280">
        <f t="shared" si="38"/>
        <v>0</v>
      </c>
      <c r="AC89" s="1282"/>
      <c r="AD89" s="1283">
        <f t="shared" si="40"/>
        <v>0</v>
      </c>
      <c r="AE89" s="1284"/>
      <c r="AF89" s="1284"/>
      <c r="AG89" s="1285"/>
      <c r="AH89" s="1163" t="str">
        <f>IF(I89&gt;0,IF(AND(O89&gt;0,O89&lt;0.15,AE89&gt;0,AE89&lt;0.15,AF89&gt;0,AF89&lt;0.15,AG89&gt;0,AG89&lt;0.15),"","ЗЖДХ болон дээд хүүг сараар шивнэ үү."),"")</f>
        <v/>
      </c>
    </row>
    <row r="90" spans="1:34">
      <c r="A90" s="1441"/>
      <c r="B90" s="1166">
        <v>2</v>
      </c>
      <c r="C90" s="1144" t="s">
        <v>574</v>
      </c>
      <c r="D90" s="1130">
        <v>78</v>
      </c>
      <c r="E90" s="1168"/>
      <c r="F90" s="1177"/>
      <c r="G90" s="1170"/>
      <c r="H90" s="1172"/>
      <c r="I90" s="1286"/>
      <c r="J90" s="1177"/>
      <c r="K90" s="1170"/>
      <c r="L90" s="1177"/>
      <c r="M90" s="1287"/>
      <c r="N90" s="1288">
        <f t="shared" si="39"/>
        <v>0</v>
      </c>
      <c r="O90" s="1289"/>
      <c r="P90" s="1290"/>
      <c r="Q90" s="1177"/>
      <c r="R90" s="1170"/>
      <c r="S90" s="1172"/>
      <c r="T90" s="1286"/>
      <c r="U90" s="1177"/>
      <c r="V90" s="1170"/>
      <c r="W90" s="1177"/>
      <c r="X90" s="1447"/>
      <c r="Y90" s="1291">
        <f t="shared" si="128"/>
        <v>0</v>
      </c>
      <c r="Z90" s="1175">
        <f t="shared" si="127"/>
        <v>0</v>
      </c>
      <c r="AA90" s="1176">
        <f t="shared" si="37"/>
        <v>0</v>
      </c>
      <c r="AB90" s="1175">
        <f t="shared" si="38"/>
        <v>0</v>
      </c>
      <c r="AC90" s="1292"/>
      <c r="AD90" s="1293">
        <f t="shared" si="40"/>
        <v>0</v>
      </c>
      <c r="AE90" s="1294"/>
      <c r="AF90" s="1294"/>
      <c r="AG90" s="1295"/>
      <c r="AH90" s="1163" t="str">
        <f>IF(I90&gt;0,IF(AND(O90&gt;0,O90&lt;0.15,AE90&gt;0,AE90&lt;0.15,AF90&gt;0,AF90&lt;0.15,AG90&gt;0,AG90&lt;0.15),"","ЗЖДХ болон дээд хүүг сараар шивнэ үү."),"")</f>
        <v/>
      </c>
    </row>
    <row r="91" spans="1:34">
      <c r="A91" s="1441"/>
      <c r="B91" s="1166">
        <v>3</v>
      </c>
      <c r="C91" s="1144" t="s">
        <v>575</v>
      </c>
      <c r="D91" s="1130">
        <v>79</v>
      </c>
      <c r="E91" s="1168"/>
      <c r="F91" s="1177"/>
      <c r="G91" s="1170"/>
      <c r="H91" s="1172"/>
      <c r="I91" s="1286"/>
      <c r="J91" s="1177"/>
      <c r="K91" s="1170"/>
      <c r="L91" s="1177"/>
      <c r="M91" s="1287"/>
      <c r="N91" s="1288">
        <f t="shared" si="39"/>
        <v>0</v>
      </c>
      <c r="O91" s="1289"/>
      <c r="P91" s="1290"/>
      <c r="Q91" s="1177"/>
      <c r="R91" s="1170"/>
      <c r="S91" s="1172"/>
      <c r="T91" s="1286"/>
      <c r="U91" s="1177"/>
      <c r="V91" s="1170"/>
      <c r="W91" s="1177"/>
      <c r="X91" s="1447"/>
      <c r="Y91" s="1291">
        <f t="shared" si="128"/>
        <v>0</v>
      </c>
      <c r="Z91" s="1175">
        <f t="shared" si="127"/>
        <v>0</v>
      </c>
      <c r="AA91" s="1176">
        <f t="shared" si="37"/>
        <v>0</v>
      </c>
      <c r="AB91" s="1175">
        <f t="shared" si="38"/>
        <v>0</v>
      </c>
      <c r="AC91" s="1292"/>
      <c r="AD91" s="1293">
        <f t="shared" si="40"/>
        <v>0</v>
      </c>
      <c r="AE91" s="1294"/>
      <c r="AF91" s="1294"/>
      <c r="AG91" s="1295"/>
      <c r="AH91" s="1163" t="str">
        <f>IF(I91&gt;0,IF(AND(O91&gt;0,O91&lt;0.15,AE91&gt;0,AE91&lt;0.15,AF91&gt;0,AF91&lt;0.15,AG91&gt;0,AG91&lt;0.15),"","ЗЖДХ болон дээд хүүг сараар шивнэ үү."),"")</f>
        <v/>
      </c>
    </row>
    <row r="92" spans="1:34">
      <c r="A92" s="1441"/>
      <c r="B92" s="1310">
        <v>4</v>
      </c>
      <c r="C92" s="1244" t="s">
        <v>576</v>
      </c>
      <c r="D92" s="1130">
        <v>80</v>
      </c>
      <c r="E92" s="1245"/>
      <c r="F92" s="1246"/>
      <c r="G92" s="1173"/>
      <c r="H92" s="1247"/>
      <c r="I92" s="1297"/>
      <c r="J92" s="1246"/>
      <c r="K92" s="1173"/>
      <c r="L92" s="1246"/>
      <c r="M92" s="1298"/>
      <c r="N92" s="1299">
        <f t="shared" si="39"/>
        <v>0</v>
      </c>
      <c r="O92" s="1319"/>
      <c r="P92" s="1301"/>
      <c r="Q92" s="1246"/>
      <c r="R92" s="1173"/>
      <c r="S92" s="1247"/>
      <c r="T92" s="1297"/>
      <c r="U92" s="1246"/>
      <c r="V92" s="1173"/>
      <c r="W92" s="1246"/>
      <c r="X92" s="1447"/>
      <c r="Y92" s="1312">
        <f t="shared" si="128"/>
        <v>0</v>
      </c>
      <c r="Z92" s="1187">
        <f t="shared" si="127"/>
        <v>0</v>
      </c>
      <c r="AA92" s="1313">
        <f t="shared" si="37"/>
        <v>0</v>
      </c>
      <c r="AB92" s="1187">
        <f t="shared" si="38"/>
        <v>0</v>
      </c>
      <c r="AC92" s="1314"/>
      <c r="AD92" s="1315">
        <f t="shared" si="40"/>
        <v>0</v>
      </c>
      <c r="AE92" s="1305"/>
      <c r="AF92" s="1316"/>
      <c r="AG92" s="1317"/>
      <c r="AH92" s="1163" t="str">
        <f>IF(I92&gt;0,IF(AND(O92&gt;0,O92&lt;0.15,AE92&gt;0,AE92&lt;0.15,AF92&gt;0,AF92&lt;0.15,AG92&gt;0,AG92&lt;0.15),"","ЗЖДХ болон дээд хүүг сараар шивнэ үү."),"")</f>
        <v/>
      </c>
    </row>
    <row r="93" spans="1:34" ht="25.5">
      <c r="A93" s="1440" t="s">
        <v>617</v>
      </c>
      <c r="B93" s="1311">
        <v>30</v>
      </c>
      <c r="C93" s="776" t="s">
        <v>618</v>
      </c>
      <c r="D93" s="1130">
        <v>81</v>
      </c>
      <c r="E93" s="1261">
        <f t="shared" ref="E93:W93" si="149">+SUM(E94:E97)</f>
        <v>0</v>
      </c>
      <c r="F93" s="1262">
        <f t="shared" ref="F93" si="150">+SUM(F94:F97)</f>
        <v>0</v>
      </c>
      <c r="G93" s="1263">
        <f t="shared" si="149"/>
        <v>0</v>
      </c>
      <c r="H93" s="1264">
        <f t="shared" ref="H93" si="151">+SUM(H94:H97)</f>
        <v>0</v>
      </c>
      <c r="I93" s="1261">
        <f t="shared" si="149"/>
        <v>0</v>
      </c>
      <c r="J93" s="1262">
        <f t="shared" ref="J93" si="152">+SUM(J94:J97)</f>
        <v>0</v>
      </c>
      <c r="K93" s="1263">
        <f t="shared" si="149"/>
        <v>0</v>
      </c>
      <c r="L93" s="1262">
        <f t="shared" ref="L93" si="153">+SUM(L94:L97)</f>
        <v>0</v>
      </c>
      <c r="M93" s="1263" t="str">
        <f>IFERROR(AVERAGE(M94:M97),"")</f>
        <v/>
      </c>
      <c r="N93" s="1206">
        <f t="shared" ref="N93" si="154">+SUM(N94:N97)</f>
        <v>0</v>
      </c>
      <c r="O93" s="1270" t="e">
        <f>(I94*O94+I95*O95+I96*O96+I97*O97)/I93</f>
        <v>#DIV/0!</v>
      </c>
      <c r="P93" s="1261">
        <f t="shared" si="149"/>
        <v>0</v>
      </c>
      <c r="Q93" s="1262">
        <f t="shared" ref="Q93" si="155">+SUM(Q94:Q97)</f>
        <v>0</v>
      </c>
      <c r="R93" s="1263">
        <f t="shared" si="149"/>
        <v>0</v>
      </c>
      <c r="S93" s="1264">
        <f t="shared" ref="S93" si="156">+SUM(S94:S97)</f>
        <v>0</v>
      </c>
      <c r="T93" s="1261">
        <f t="shared" si="149"/>
        <v>0</v>
      </c>
      <c r="U93" s="1262">
        <f t="shared" ref="U93" si="157">+SUM(U94:U97)</f>
        <v>0</v>
      </c>
      <c r="V93" s="1263">
        <f t="shared" si="149"/>
        <v>0</v>
      </c>
      <c r="W93" s="1262">
        <f t="shared" si="149"/>
        <v>0</v>
      </c>
      <c r="X93" s="1447"/>
      <c r="Y93" s="1261">
        <f t="shared" si="128"/>
        <v>0</v>
      </c>
      <c r="Z93" s="1268">
        <f t="shared" si="127"/>
        <v>0</v>
      </c>
      <c r="AA93" s="1263">
        <f t="shared" si="37"/>
        <v>0</v>
      </c>
      <c r="AB93" s="1268">
        <f t="shared" si="38"/>
        <v>0</v>
      </c>
      <c r="AC93" s="1212" t="str">
        <f>IFERROR(AVERAGE(AC94:AC97),"")</f>
        <v/>
      </c>
      <c r="AD93" s="1269">
        <f t="shared" ref="AD93" si="158">+SUM(AD94:AD97)</f>
        <v>0</v>
      </c>
      <c r="AE93" s="1270" t="e">
        <f>(Y94*AE94+Y95*AE95+Y96*AE96+Y97*AE97)/Y93</f>
        <v>#DIV/0!</v>
      </c>
      <c r="AF93" s="1271">
        <f>+MAX(AF94:AF97)</f>
        <v>0</v>
      </c>
      <c r="AG93" s="1272">
        <f t="array" ref="AG93">+MIN(IF(AG94:AG97&gt;0,AG94:AG97))</f>
        <v>0</v>
      </c>
      <c r="AH93" s="1163" t="str">
        <f>IF(SUM(Y94:Y97)&gt;0,IF(SUM(Z94:Z97)=0,"Зээлдэгчийн тоог бүрэн шивнэ үү.",""),"")</f>
        <v/>
      </c>
    </row>
    <row r="94" spans="1:34">
      <c r="A94" s="1441"/>
      <c r="B94" s="1273">
        <v>1</v>
      </c>
      <c r="C94" s="774" t="s">
        <v>163</v>
      </c>
      <c r="D94" s="1130">
        <v>82</v>
      </c>
      <c r="E94" s="1217"/>
      <c r="F94" s="1218"/>
      <c r="G94" s="1219"/>
      <c r="H94" s="1220"/>
      <c r="I94" s="1274"/>
      <c r="J94" s="1218"/>
      <c r="K94" s="1219"/>
      <c r="L94" s="1218"/>
      <c r="M94" s="1275"/>
      <c r="N94" s="1276">
        <f t="shared" si="39"/>
        <v>0</v>
      </c>
      <c r="O94" s="1277"/>
      <c r="P94" s="1278"/>
      <c r="Q94" s="1218"/>
      <c r="R94" s="1219"/>
      <c r="S94" s="1220"/>
      <c r="T94" s="1274"/>
      <c r="U94" s="1218"/>
      <c r="V94" s="1219"/>
      <c r="W94" s="1218"/>
      <c r="X94" s="1447"/>
      <c r="Y94" s="1279">
        <f t="shared" si="128"/>
        <v>0</v>
      </c>
      <c r="Z94" s="1280">
        <f t="shared" si="127"/>
        <v>0</v>
      </c>
      <c r="AA94" s="1281">
        <f t="shared" si="37"/>
        <v>0</v>
      </c>
      <c r="AB94" s="1280">
        <f t="shared" si="38"/>
        <v>0</v>
      </c>
      <c r="AC94" s="1282"/>
      <c r="AD94" s="1283">
        <f t="shared" si="40"/>
        <v>0</v>
      </c>
      <c r="AE94" s="1284"/>
      <c r="AF94" s="1284"/>
      <c r="AG94" s="1285"/>
      <c r="AH94" s="1163" t="str">
        <f>IF(I94&gt;0,IF(AND(O94&gt;0,O94&lt;0.15,AE94&gt;0,AE94&lt;0.15,AF94&gt;0,AF94&lt;0.15,AG94&gt;0,AG94&lt;0.15),"","ЗЖДХ болон дээд хүүг сараар шивнэ үү."),"")</f>
        <v/>
      </c>
    </row>
    <row r="95" spans="1:34">
      <c r="A95" s="1441"/>
      <c r="B95" s="1166">
        <v>2</v>
      </c>
      <c r="C95" s="1144" t="s">
        <v>574</v>
      </c>
      <c r="D95" s="1130">
        <v>83</v>
      </c>
      <c r="E95" s="1168"/>
      <c r="F95" s="1177"/>
      <c r="G95" s="1170"/>
      <c r="H95" s="1172"/>
      <c r="I95" s="1286"/>
      <c r="J95" s="1177"/>
      <c r="K95" s="1170"/>
      <c r="L95" s="1177"/>
      <c r="M95" s="1287"/>
      <c r="N95" s="1288">
        <f t="shared" si="39"/>
        <v>0</v>
      </c>
      <c r="O95" s="1289"/>
      <c r="P95" s="1290"/>
      <c r="Q95" s="1177"/>
      <c r="R95" s="1170"/>
      <c r="S95" s="1172"/>
      <c r="T95" s="1286"/>
      <c r="U95" s="1177"/>
      <c r="V95" s="1170"/>
      <c r="W95" s="1177"/>
      <c r="X95" s="1447"/>
      <c r="Y95" s="1291">
        <f t="shared" si="128"/>
        <v>0</v>
      </c>
      <c r="Z95" s="1175">
        <f t="shared" si="127"/>
        <v>0</v>
      </c>
      <c r="AA95" s="1176">
        <f t="shared" ref="AA95:AA149" si="159">ROUND(SUM(G95,K95,-R95,-V95),2)</f>
        <v>0</v>
      </c>
      <c r="AB95" s="1175">
        <f t="shared" ref="AB95:AB149" si="160">+H95+L95-W95</f>
        <v>0</v>
      </c>
      <c r="AC95" s="1292"/>
      <c r="AD95" s="1293">
        <f t="shared" si="40"/>
        <v>0</v>
      </c>
      <c r="AE95" s="1294"/>
      <c r="AF95" s="1294"/>
      <c r="AG95" s="1295"/>
      <c r="AH95" s="1163" t="str">
        <f>IF(I95&gt;0,IF(AND(O95&gt;0,O95&lt;0.15,AE95&gt;0,AE95&lt;0.15,AF95&gt;0,AF95&lt;0.15,AG95&gt;0,AG95&lt;0.15),"","ЗЖДХ болон дээд хүүг сараар шивнэ үү."),"")</f>
        <v/>
      </c>
    </row>
    <row r="96" spans="1:34">
      <c r="A96" s="1441"/>
      <c r="B96" s="1166">
        <v>3</v>
      </c>
      <c r="C96" s="1144" t="s">
        <v>575</v>
      </c>
      <c r="D96" s="1130">
        <v>84</v>
      </c>
      <c r="E96" s="1168"/>
      <c r="F96" s="1177"/>
      <c r="G96" s="1170"/>
      <c r="H96" s="1172"/>
      <c r="I96" s="1286"/>
      <c r="J96" s="1177"/>
      <c r="K96" s="1170"/>
      <c r="L96" s="1177"/>
      <c r="M96" s="1287"/>
      <c r="N96" s="1288">
        <f t="shared" ref="N96:N149" si="161">+I96*O96</f>
        <v>0</v>
      </c>
      <c r="O96" s="1289"/>
      <c r="P96" s="1290"/>
      <c r="Q96" s="1177"/>
      <c r="R96" s="1170"/>
      <c r="S96" s="1172"/>
      <c r="T96" s="1286"/>
      <c r="U96" s="1177"/>
      <c r="V96" s="1170"/>
      <c r="W96" s="1177"/>
      <c r="X96" s="1447"/>
      <c r="Y96" s="1291">
        <f t="shared" si="128"/>
        <v>0</v>
      </c>
      <c r="Z96" s="1175">
        <f t="shared" si="127"/>
        <v>0</v>
      </c>
      <c r="AA96" s="1176">
        <f t="shared" si="159"/>
        <v>0</v>
      </c>
      <c r="AB96" s="1175">
        <f t="shared" si="160"/>
        <v>0</v>
      </c>
      <c r="AC96" s="1292"/>
      <c r="AD96" s="1293">
        <f t="shared" ref="AD96:AD149" si="162">+Y96*AE96</f>
        <v>0</v>
      </c>
      <c r="AE96" s="1294"/>
      <c r="AF96" s="1294"/>
      <c r="AG96" s="1295"/>
      <c r="AH96" s="1163" t="str">
        <f>IF(I96&gt;0,IF(AND(O96&gt;0,O96&lt;0.15,AE96&gt;0,AE96&lt;0.15,AF96&gt;0,AF96&lt;0.15,AG96&gt;0,AG96&lt;0.15),"","ЗЖДХ болон дээд хүүг сараар шивнэ үү."),"")</f>
        <v/>
      </c>
    </row>
    <row r="97" spans="1:34">
      <c r="A97" s="1441"/>
      <c r="B97" s="1310">
        <v>4</v>
      </c>
      <c r="C97" s="1244" t="s">
        <v>576</v>
      </c>
      <c r="D97" s="1130">
        <v>85</v>
      </c>
      <c r="E97" s="1245"/>
      <c r="F97" s="1246"/>
      <c r="G97" s="1173"/>
      <c r="H97" s="1247"/>
      <c r="I97" s="1297"/>
      <c r="J97" s="1246"/>
      <c r="K97" s="1173"/>
      <c r="L97" s="1246"/>
      <c r="M97" s="1298"/>
      <c r="N97" s="1299">
        <f t="shared" si="161"/>
        <v>0</v>
      </c>
      <c r="O97" s="1300"/>
      <c r="P97" s="1301"/>
      <c r="Q97" s="1246"/>
      <c r="R97" s="1173"/>
      <c r="S97" s="1247"/>
      <c r="T97" s="1297"/>
      <c r="U97" s="1246"/>
      <c r="V97" s="1173"/>
      <c r="W97" s="1246"/>
      <c r="X97" s="1447"/>
      <c r="Y97" s="1312">
        <f t="shared" si="128"/>
        <v>0</v>
      </c>
      <c r="Z97" s="1187">
        <f t="shared" si="127"/>
        <v>0</v>
      </c>
      <c r="AA97" s="1313">
        <f t="shared" si="159"/>
        <v>0</v>
      </c>
      <c r="AB97" s="1187">
        <f t="shared" si="160"/>
        <v>0</v>
      </c>
      <c r="AC97" s="1314"/>
      <c r="AD97" s="1315">
        <f t="shared" si="162"/>
        <v>0</v>
      </c>
      <c r="AE97" s="1316"/>
      <c r="AF97" s="1316"/>
      <c r="AG97" s="1317"/>
      <c r="AH97" s="1163" t="str">
        <f>IF(I97&gt;0,IF(AND(O97&gt;0,O97&lt;0.15,AE97&gt;0,AE97&lt;0.15,AF97&gt;0,AF97&lt;0.15,AG97&gt;0,AG97&lt;0.15),"","ЗЖДХ болон дээд хүүг сараар шивнэ үү."),"")</f>
        <v/>
      </c>
    </row>
    <row r="98" spans="1:34" ht="25.5">
      <c r="A98" s="1442" t="s">
        <v>619</v>
      </c>
      <c r="B98" s="1311">
        <v>31</v>
      </c>
      <c r="C98" s="776" t="s">
        <v>620</v>
      </c>
      <c r="D98" s="1130">
        <v>86</v>
      </c>
      <c r="E98" s="1261">
        <f t="shared" ref="E98:W98" si="163">+SUM(E99:E102)</f>
        <v>0</v>
      </c>
      <c r="F98" s="1262">
        <f t="shared" ref="F98" si="164">+SUM(F99:F102)</f>
        <v>0</v>
      </c>
      <c r="G98" s="1263">
        <f t="shared" si="163"/>
        <v>0</v>
      </c>
      <c r="H98" s="1264">
        <f t="shared" ref="H98" si="165">+SUM(H99:H102)</f>
        <v>0</v>
      </c>
      <c r="I98" s="1261">
        <f t="shared" si="163"/>
        <v>0</v>
      </c>
      <c r="J98" s="1262">
        <f t="shared" ref="J98" si="166">+SUM(J99:J102)</f>
        <v>0</v>
      </c>
      <c r="K98" s="1263">
        <f t="shared" si="163"/>
        <v>0</v>
      </c>
      <c r="L98" s="1262">
        <f t="shared" ref="L98" si="167">+SUM(L99:L102)</f>
        <v>0</v>
      </c>
      <c r="M98" s="1263" t="str">
        <f>IFERROR(AVERAGE(M99:M102),"")</f>
        <v/>
      </c>
      <c r="N98" s="1265">
        <f t="shared" ref="N98" si="168">+SUM(N99:N102)</f>
        <v>0</v>
      </c>
      <c r="O98" s="1309" t="e">
        <f>(I99*O99+I100*O100+I101*O101+I102*O102)/I98</f>
        <v>#DIV/0!</v>
      </c>
      <c r="P98" s="1261">
        <f t="shared" si="163"/>
        <v>0</v>
      </c>
      <c r="Q98" s="1262">
        <f t="shared" ref="Q98" si="169">+SUM(Q99:Q102)</f>
        <v>0</v>
      </c>
      <c r="R98" s="1263">
        <f t="shared" si="163"/>
        <v>0</v>
      </c>
      <c r="S98" s="1264">
        <f t="shared" ref="S98" si="170">+SUM(S99:S102)</f>
        <v>0</v>
      </c>
      <c r="T98" s="1261">
        <f t="shared" si="163"/>
        <v>0</v>
      </c>
      <c r="U98" s="1262">
        <f t="shared" ref="U98" si="171">+SUM(U99:U102)</f>
        <v>0</v>
      </c>
      <c r="V98" s="1263">
        <f t="shared" si="163"/>
        <v>0</v>
      </c>
      <c r="W98" s="1262">
        <f t="shared" si="163"/>
        <v>0</v>
      </c>
      <c r="X98" s="1447"/>
      <c r="Y98" s="1261">
        <f t="shared" si="128"/>
        <v>0</v>
      </c>
      <c r="Z98" s="1268">
        <f t="shared" si="127"/>
        <v>0</v>
      </c>
      <c r="AA98" s="1263">
        <f t="shared" si="159"/>
        <v>0</v>
      </c>
      <c r="AB98" s="1268">
        <f t="shared" si="160"/>
        <v>0</v>
      </c>
      <c r="AC98" s="1212" t="str">
        <f>IFERROR(AVERAGE(AC99:AC102),"")</f>
        <v/>
      </c>
      <c r="AD98" s="1320">
        <f t="shared" ref="AD98" si="172">+SUM(AD99:AD102)</f>
        <v>0</v>
      </c>
      <c r="AE98" s="1309" t="e">
        <f>(Y99*AE99+Y100*AE100+Y101*AE101+Y102*AE102)/Y98</f>
        <v>#DIV/0!</v>
      </c>
      <c r="AF98" s="1271">
        <f>+MAX(AF99:AF102)</f>
        <v>0</v>
      </c>
      <c r="AG98" s="1272">
        <f t="array" ref="AG98">+MIN(IF(AG99:AG102&gt;0,AG99:AG102))</f>
        <v>0</v>
      </c>
      <c r="AH98" s="1163" t="str">
        <f>IF(SUM(Y99:Y102)&gt;0,IF(SUM(Z99:Z102)=0,"Зээлдэгчийн тоог бүрэн шивнэ үү.",""),"")</f>
        <v/>
      </c>
    </row>
    <row r="99" spans="1:34">
      <c r="A99" s="1442"/>
      <c r="B99" s="1321">
        <v>1</v>
      </c>
      <c r="C99" s="774" t="s">
        <v>163</v>
      </c>
      <c r="D99" s="1130">
        <v>87</v>
      </c>
      <c r="E99" s="1217"/>
      <c r="F99" s="1218"/>
      <c r="G99" s="1219"/>
      <c r="H99" s="1220"/>
      <c r="I99" s="1274"/>
      <c r="J99" s="1218"/>
      <c r="K99" s="1219"/>
      <c r="L99" s="1218"/>
      <c r="M99" s="1275"/>
      <c r="N99" s="1276">
        <f t="shared" si="161"/>
        <v>0</v>
      </c>
      <c r="O99" s="1277"/>
      <c r="P99" s="1278"/>
      <c r="Q99" s="1218"/>
      <c r="R99" s="1219"/>
      <c r="S99" s="1322"/>
      <c r="T99" s="1274"/>
      <c r="U99" s="1218"/>
      <c r="V99" s="1219"/>
      <c r="W99" s="1218"/>
      <c r="X99" s="1447"/>
      <c r="Y99" s="1279">
        <f t="shared" si="128"/>
        <v>0</v>
      </c>
      <c r="Z99" s="1280">
        <f t="shared" si="127"/>
        <v>0</v>
      </c>
      <c r="AA99" s="1281">
        <f t="shared" si="159"/>
        <v>0</v>
      </c>
      <c r="AB99" s="1280">
        <f t="shared" si="160"/>
        <v>0</v>
      </c>
      <c r="AC99" s="1282"/>
      <c r="AD99" s="1283">
        <f t="shared" si="162"/>
        <v>0</v>
      </c>
      <c r="AE99" s="1284"/>
      <c r="AF99" s="1284"/>
      <c r="AG99" s="1285"/>
      <c r="AH99" s="1163" t="str">
        <f>IF(I99&gt;0,IF(AND(O99&gt;0,O99&lt;0.15,AE99&gt;0,AE99&lt;0.15,AF99&gt;0,AF99&lt;0.15,AG99&gt;0,AG99&lt;0.15),"","ЗЖДХ болон дээд хүүг сараар шивнэ үү."),"")</f>
        <v/>
      </c>
    </row>
    <row r="100" spans="1:34">
      <c r="A100" s="1442"/>
      <c r="B100" s="1323">
        <v>2</v>
      </c>
      <c r="C100" s="1144" t="s">
        <v>574</v>
      </c>
      <c r="D100" s="1130">
        <v>88</v>
      </c>
      <c r="E100" s="1168"/>
      <c r="F100" s="1177"/>
      <c r="G100" s="1170"/>
      <c r="H100" s="1172"/>
      <c r="I100" s="1286"/>
      <c r="J100" s="1177"/>
      <c r="K100" s="1170"/>
      <c r="L100" s="1177"/>
      <c r="M100" s="1287"/>
      <c r="N100" s="1288">
        <f t="shared" si="161"/>
        <v>0</v>
      </c>
      <c r="O100" s="1289"/>
      <c r="P100" s="1290"/>
      <c r="Q100" s="1177"/>
      <c r="R100" s="1170"/>
      <c r="S100" s="1172"/>
      <c r="T100" s="1286"/>
      <c r="U100" s="1177"/>
      <c r="V100" s="1170"/>
      <c r="W100" s="1177"/>
      <c r="X100" s="1447"/>
      <c r="Y100" s="1291">
        <f t="shared" si="128"/>
        <v>0</v>
      </c>
      <c r="Z100" s="1175">
        <f t="shared" si="127"/>
        <v>0</v>
      </c>
      <c r="AA100" s="1176">
        <f t="shared" si="159"/>
        <v>0</v>
      </c>
      <c r="AB100" s="1175">
        <f t="shared" si="160"/>
        <v>0</v>
      </c>
      <c r="AC100" s="1292"/>
      <c r="AD100" s="1293">
        <f t="shared" si="162"/>
        <v>0</v>
      </c>
      <c r="AE100" s="1294"/>
      <c r="AF100" s="1294"/>
      <c r="AG100" s="1295"/>
      <c r="AH100" s="1163" t="str">
        <f>IF(I100&gt;0,IF(AND(O100&gt;0,O100&lt;0.15,AE100&gt;0,AE100&lt;0.15,AF100&gt;0,AF100&lt;0.15,AG100&gt;0,AG100&lt;0.15),"","ЗЖДХ болон дээд хүүг сараар шивнэ үү."),"")</f>
        <v/>
      </c>
    </row>
    <row r="101" spans="1:34">
      <c r="A101" s="1442"/>
      <c r="B101" s="1323">
        <v>3</v>
      </c>
      <c r="C101" s="1144" t="s">
        <v>575</v>
      </c>
      <c r="D101" s="1130">
        <v>89</v>
      </c>
      <c r="E101" s="1168"/>
      <c r="F101" s="1177"/>
      <c r="G101" s="1170"/>
      <c r="H101" s="1172"/>
      <c r="I101" s="1286"/>
      <c r="J101" s="1177"/>
      <c r="K101" s="1170"/>
      <c r="L101" s="1177"/>
      <c r="M101" s="1287"/>
      <c r="N101" s="1288">
        <f t="shared" si="161"/>
        <v>0</v>
      </c>
      <c r="O101" s="1289"/>
      <c r="P101" s="1290"/>
      <c r="Q101" s="1177"/>
      <c r="R101" s="1170"/>
      <c r="S101" s="1172"/>
      <c r="T101" s="1286"/>
      <c r="U101" s="1177"/>
      <c r="V101" s="1170"/>
      <c r="W101" s="1177"/>
      <c r="X101" s="1447"/>
      <c r="Y101" s="1291">
        <f t="shared" si="128"/>
        <v>0</v>
      </c>
      <c r="Z101" s="1175">
        <f t="shared" si="127"/>
        <v>0</v>
      </c>
      <c r="AA101" s="1176">
        <f t="shared" si="159"/>
        <v>0</v>
      </c>
      <c r="AB101" s="1175">
        <f t="shared" si="160"/>
        <v>0</v>
      </c>
      <c r="AC101" s="1292"/>
      <c r="AD101" s="1293">
        <f t="shared" si="162"/>
        <v>0</v>
      </c>
      <c r="AE101" s="1294"/>
      <c r="AF101" s="1294"/>
      <c r="AG101" s="1295"/>
      <c r="AH101" s="1163" t="str">
        <f>IF(I101&gt;0,IF(AND(O101&gt;0,O101&lt;0.15,AE101&gt;0,AE101&lt;0.15,AF101&gt;0,AF101&lt;0.15,AG101&gt;0,AG101&lt;0.15),"","ЗЖДХ болон дээд хүүг сараар шивнэ үү."),"")</f>
        <v/>
      </c>
    </row>
    <row r="102" spans="1:34">
      <c r="A102" s="1442"/>
      <c r="B102" s="1324">
        <v>4</v>
      </c>
      <c r="C102" s="1244" t="s">
        <v>576</v>
      </c>
      <c r="D102" s="1130">
        <v>90</v>
      </c>
      <c r="E102" s="1245"/>
      <c r="F102" s="1246"/>
      <c r="G102" s="1173"/>
      <c r="H102" s="1247"/>
      <c r="I102" s="1297"/>
      <c r="J102" s="1246"/>
      <c r="K102" s="1173"/>
      <c r="L102" s="1246"/>
      <c r="M102" s="1298"/>
      <c r="N102" s="1299">
        <f t="shared" si="161"/>
        <v>0</v>
      </c>
      <c r="O102" s="1319"/>
      <c r="P102" s="1301"/>
      <c r="Q102" s="1246"/>
      <c r="R102" s="1173"/>
      <c r="S102" s="1247"/>
      <c r="T102" s="1297"/>
      <c r="U102" s="1246"/>
      <c r="V102" s="1173"/>
      <c r="W102" s="1246"/>
      <c r="X102" s="1447"/>
      <c r="Y102" s="1312">
        <f t="shared" si="128"/>
        <v>0</v>
      </c>
      <c r="Z102" s="1187">
        <f t="shared" si="127"/>
        <v>0</v>
      </c>
      <c r="AA102" s="1313">
        <f t="shared" si="159"/>
        <v>0</v>
      </c>
      <c r="AB102" s="1187">
        <f t="shared" si="160"/>
        <v>0</v>
      </c>
      <c r="AC102" s="1314"/>
      <c r="AD102" s="1315">
        <f t="shared" si="162"/>
        <v>0</v>
      </c>
      <c r="AE102" s="1316"/>
      <c r="AF102" s="1316"/>
      <c r="AG102" s="1317"/>
      <c r="AH102" s="1163" t="str">
        <f>IF(I102&gt;0,IF(AND(O102&gt;0,O102&lt;0.15,AE102&gt;0,AE102&lt;0.15,AF102&gt;0,AF102&lt;0.15,AG102&gt;0,AG102&lt;0.15),"","ЗЖДХ болон дээд хүүг сараар шивнэ үү."),"")</f>
        <v/>
      </c>
    </row>
    <row r="103" spans="1:34" ht="25.5">
      <c r="A103" s="1440" t="s">
        <v>621</v>
      </c>
      <c r="B103" s="1311">
        <v>32</v>
      </c>
      <c r="C103" s="776" t="s">
        <v>622</v>
      </c>
      <c r="D103" s="1130">
        <v>91</v>
      </c>
      <c r="E103" s="1261">
        <f t="shared" ref="E103:W103" si="173">+SUM(E104:E107)</f>
        <v>0</v>
      </c>
      <c r="F103" s="1262">
        <f t="shared" ref="F103" si="174">+SUM(F104:F107)</f>
        <v>0</v>
      </c>
      <c r="G103" s="1263">
        <f t="shared" si="173"/>
        <v>0</v>
      </c>
      <c r="H103" s="1264">
        <f t="shared" ref="H103" si="175">+SUM(H104:H107)</f>
        <v>0</v>
      </c>
      <c r="I103" s="1261">
        <f t="shared" si="173"/>
        <v>0</v>
      </c>
      <c r="J103" s="1262">
        <f t="shared" ref="J103" si="176">+SUM(J104:J107)</f>
        <v>0</v>
      </c>
      <c r="K103" s="1263">
        <f t="shared" si="173"/>
        <v>0</v>
      </c>
      <c r="L103" s="1262">
        <f t="shared" ref="L103" si="177">+SUM(L104:L107)</f>
        <v>0</v>
      </c>
      <c r="M103" s="1263" t="str">
        <f>IFERROR(AVERAGE(M104:M107),"")</f>
        <v/>
      </c>
      <c r="N103" s="1206">
        <f t="shared" ref="N103" si="178">+SUM(N104:N107)</f>
        <v>0</v>
      </c>
      <c r="O103" s="1270" t="e">
        <f>(I104*O104+I105*O105+I106*O106+I107*O107)/I103</f>
        <v>#DIV/0!</v>
      </c>
      <c r="P103" s="1261">
        <f t="shared" si="173"/>
        <v>0</v>
      </c>
      <c r="Q103" s="1262">
        <f t="shared" ref="Q103" si="179">+SUM(Q104:Q107)</f>
        <v>0</v>
      </c>
      <c r="R103" s="1263">
        <f t="shared" si="173"/>
        <v>0</v>
      </c>
      <c r="S103" s="1264">
        <f t="shared" ref="S103" si="180">+SUM(S104:S107)</f>
        <v>0</v>
      </c>
      <c r="T103" s="1261">
        <f t="shared" si="173"/>
        <v>0</v>
      </c>
      <c r="U103" s="1262">
        <f t="shared" ref="U103" si="181">+SUM(U104:U107)</f>
        <v>0</v>
      </c>
      <c r="V103" s="1263">
        <f t="shared" si="173"/>
        <v>0</v>
      </c>
      <c r="W103" s="1262">
        <f t="shared" si="173"/>
        <v>0</v>
      </c>
      <c r="X103" s="1447"/>
      <c r="Y103" s="1261">
        <f t="shared" si="128"/>
        <v>0</v>
      </c>
      <c r="Z103" s="1268">
        <f t="shared" si="127"/>
        <v>0</v>
      </c>
      <c r="AA103" s="1263">
        <f t="shared" si="159"/>
        <v>0</v>
      </c>
      <c r="AB103" s="1268">
        <f t="shared" si="160"/>
        <v>0</v>
      </c>
      <c r="AC103" s="1212" t="str">
        <f>IFERROR(AVERAGE(AC104:AC107),"")</f>
        <v/>
      </c>
      <c r="AD103" s="1320">
        <f t="shared" ref="AD103" si="182">+SUM(AD104:AD107)</f>
        <v>0</v>
      </c>
      <c r="AE103" s="1309" t="e">
        <f>(Y104*AE104+Y105*AE105+Y106*AE106+Y107*AE107)/Y103</f>
        <v>#DIV/0!</v>
      </c>
      <c r="AF103" s="1271">
        <f>+MAX(AF104:AF107)</f>
        <v>0</v>
      </c>
      <c r="AG103" s="1272">
        <f t="array" ref="AG103">+MIN(IF(AG104:AG107&gt;0,AG104:AG107))</f>
        <v>0</v>
      </c>
      <c r="AH103" s="1163" t="str">
        <f>IF(SUM(Y104:Y107)&gt;0,IF(SUM(Z104:Z107)=0,"Зээлдэгчийн тоог бүрэн шивнэ үү.",""),"")</f>
        <v/>
      </c>
    </row>
    <row r="104" spans="1:34">
      <c r="A104" s="1441"/>
      <c r="B104" s="1273">
        <v>1</v>
      </c>
      <c r="C104" s="774" t="s">
        <v>163</v>
      </c>
      <c r="D104" s="1130">
        <v>92</v>
      </c>
      <c r="E104" s="1217"/>
      <c r="F104" s="1218"/>
      <c r="G104" s="1219"/>
      <c r="H104" s="1220"/>
      <c r="I104" s="1274"/>
      <c r="J104" s="1218"/>
      <c r="K104" s="1219"/>
      <c r="L104" s="1218"/>
      <c r="M104" s="1275"/>
      <c r="N104" s="1276">
        <f t="shared" si="161"/>
        <v>0</v>
      </c>
      <c r="O104" s="1277"/>
      <c r="P104" s="1278"/>
      <c r="Q104" s="1218"/>
      <c r="R104" s="1219"/>
      <c r="S104" s="1220"/>
      <c r="T104" s="1274"/>
      <c r="U104" s="1218"/>
      <c r="V104" s="1219"/>
      <c r="W104" s="1218"/>
      <c r="X104" s="1447"/>
      <c r="Y104" s="1279">
        <f t="shared" si="128"/>
        <v>0</v>
      </c>
      <c r="Z104" s="1280">
        <f t="shared" si="127"/>
        <v>0</v>
      </c>
      <c r="AA104" s="1281">
        <f t="shared" si="159"/>
        <v>0</v>
      </c>
      <c r="AB104" s="1280">
        <f t="shared" si="160"/>
        <v>0</v>
      </c>
      <c r="AC104" s="1282"/>
      <c r="AD104" s="1283">
        <f t="shared" si="162"/>
        <v>0</v>
      </c>
      <c r="AE104" s="1284"/>
      <c r="AF104" s="1284"/>
      <c r="AG104" s="1285"/>
      <c r="AH104" s="1163" t="str">
        <f>IF(I104&gt;0,IF(AND(O104&gt;0,O104&lt;0.15,AE104&gt;0,AE104&lt;0.15,AF104&gt;0,AF104&lt;0.15,AG104&gt;0,AG104&lt;0.15),"","ЗЖДХ болон дээд хүүг сараар шивнэ үү."),"")</f>
        <v/>
      </c>
    </row>
    <row r="105" spans="1:34">
      <c r="A105" s="1441"/>
      <c r="B105" s="1166">
        <v>2</v>
      </c>
      <c r="C105" s="1144" t="s">
        <v>574</v>
      </c>
      <c r="D105" s="1130">
        <v>93</v>
      </c>
      <c r="E105" s="1168"/>
      <c r="F105" s="1177"/>
      <c r="G105" s="1170"/>
      <c r="H105" s="1172"/>
      <c r="I105" s="1286"/>
      <c r="J105" s="1177"/>
      <c r="K105" s="1170"/>
      <c r="L105" s="1177"/>
      <c r="M105" s="1287"/>
      <c r="N105" s="1288">
        <f t="shared" si="161"/>
        <v>0</v>
      </c>
      <c r="O105" s="1289"/>
      <c r="P105" s="1290"/>
      <c r="Q105" s="1177"/>
      <c r="R105" s="1170"/>
      <c r="S105" s="1172"/>
      <c r="T105" s="1286"/>
      <c r="U105" s="1177"/>
      <c r="V105" s="1170"/>
      <c r="W105" s="1177"/>
      <c r="X105" s="1447"/>
      <c r="Y105" s="1291">
        <f t="shared" si="128"/>
        <v>0</v>
      </c>
      <c r="Z105" s="1175">
        <f t="shared" si="127"/>
        <v>0</v>
      </c>
      <c r="AA105" s="1176">
        <f t="shared" si="159"/>
        <v>0</v>
      </c>
      <c r="AB105" s="1175">
        <f t="shared" si="160"/>
        <v>0</v>
      </c>
      <c r="AC105" s="1292"/>
      <c r="AD105" s="1293">
        <f t="shared" si="162"/>
        <v>0</v>
      </c>
      <c r="AE105" s="1294"/>
      <c r="AF105" s="1294"/>
      <c r="AG105" s="1295"/>
      <c r="AH105" s="1163" t="str">
        <f>IF(I105&gt;0,IF(AND(O105&gt;0,O105&lt;0.15,AE105&gt;0,AE105&lt;0.15,AF105&gt;0,AF105&lt;0.15,AG105&gt;0,AG105&lt;0.15),"","ЗЖДХ болон дээд хүүг сараар шивнэ үү."),"")</f>
        <v/>
      </c>
    </row>
    <row r="106" spans="1:34">
      <c r="A106" s="1441"/>
      <c r="B106" s="1166">
        <v>3</v>
      </c>
      <c r="C106" s="1144" t="s">
        <v>575</v>
      </c>
      <c r="D106" s="1130">
        <v>94</v>
      </c>
      <c r="E106" s="1168"/>
      <c r="F106" s="1177"/>
      <c r="G106" s="1170"/>
      <c r="H106" s="1172"/>
      <c r="I106" s="1286"/>
      <c r="J106" s="1177"/>
      <c r="K106" s="1170"/>
      <c r="L106" s="1177"/>
      <c r="M106" s="1287"/>
      <c r="N106" s="1288">
        <f t="shared" si="161"/>
        <v>0</v>
      </c>
      <c r="O106" s="1289"/>
      <c r="P106" s="1290"/>
      <c r="Q106" s="1177"/>
      <c r="R106" s="1170"/>
      <c r="S106" s="1172"/>
      <c r="T106" s="1286"/>
      <c r="U106" s="1177"/>
      <c r="V106" s="1170"/>
      <c r="W106" s="1177"/>
      <c r="X106" s="1447"/>
      <c r="Y106" s="1291">
        <f t="shared" si="128"/>
        <v>0</v>
      </c>
      <c r="Z106" s="1175">
        <f t="shared" si="127"/>
        <v>0</v>
      </c>
      <c r="AA106" s="1176">
        <f t="shared" si="159"/>
        <v>0</v>
      </c>
      <c r="AB106" s="1175">
        <f t="shared" si="160"/>
        <v>0</v>
      </c>
      <c r="AC106" s="1292"/>
      <c r="AD106" s="1293">
        <f t="shared" si="162"/>
        <v>0</v>
      </c>
      <c r="AE106" s="1294"/>
      <c r="AF106" s="1294"/>
      <c r="AG106" s="1295"/>
      <c r="AH106" s="1163" t="str">
        <f>IF(I106&gt;0,IF(AND(O106&gt;0,O106&lt;0.15,AE106&gt;0,AE106&lt;0.15,AF106&gt;0,AF106&lt;0.15,AG106&gt;0,AG106&lt;0.15),"","ЗЖДХ болон дээд хүүг сараар шивнэ үү."),"")</f>
        <v/>
      </c>
    </row>
    <row r="107" spans="1:34">
      <c r="A107" s="1441"/>
      <c r="B107" s="1310">
        <v>4</v>
      </c>
      <c r="C107" s="1244" t="s">
        <v>576</v>
      </c>
      <c r="D107" s="1130">
        <v>95</v>
      </c>
      <c r="E107" s="1245"/>
      <c r="F107" s="1246"/>
      <c r="G107" s="1173"/>
      <c r="H107" s="1247"/>
      <c r="I107" s="1297"/>
      <c r="J107" s="1246"/>
      <c r="K107" s="1173"/>
      <c r="L107" s="1246"/>
      <c r="M107" s="1298"/>
      <c r="N107" s="1299">
        <f t="shared" si="161"/>
        <v>0</v>
      </c>
      <c r="O107" s="1300"/>
      <c r="P107" s="1301"/>
      <c r="Q107" s="1246"/>
      <c r="R107" s="1173"/>
      <c r="S107" s="1247"/>
      <c r="T107" s="1297"/>
      <c r="U107" s="1246"/>
      <c r="V107" s="1173"/>
      <c r="W107" s="1246"/>
      <c r="X107" s="1447"/>
      <c r="Y107" s="1312">
        <f t="shared" si="128"/>
        <v>0</v>
      </c>
      <c r="Z107" s="1187">
        <f t="shared" si="127"/>
        <v>0</v>
      </c>
      <c r="AA107" s="1313">
        <f t="shared" si="159"/>
        <v>0</v>
      </c>
      <c r="AB107" s="1187">
        <f t="shared" si="160"/>
        <v>0</v>
      </c>
      <c r="AC107" s="1314"/>
      <c r="AD107" s="1315">
        <f t="shared" si="162"/>
        <v>0</v>
      </c>
      <c r="AE107" s="1316"/>
      <c r="AF107" s="1316"/>
      <c r="AG107" s="1317"/>
      <c r="AH107" s="1163" t="str">
        <f>IF(I107&gt;0,IF(AND(O107&gt;0,O107&lt;0.15,AE107&gt;0,AE107&lt;0.15,AF107&gt;0,AF107&lt;0.15,AG107&gt;0,AG107&lt;0.15),"","ЗЖДХ болон дээд хүүг сараар шивнэ үү."),"")</f>
        <v/>
      </c>
    </row>
    <row r="108" spans="1:34">
      <c r="A108" s="1440" t="s">
        <v>623</v>
      </c>
      <c r="B108" s="1311">
        <v>33</v>
      </c>
      <c r="C108" s="776" t="s">
        <v>624</v>
      </c>
      <c r="D108" s="1130">
        <v>96</v>
      </c>
      <c r="E108" s="1261">
        <f>+SUM(E110:E113)</f>
        <v>0</v>
      </c>
      <c r="F108" s="1262">
        <f t="shared" ref="F108" si="183">+SUM(F110:F113)</f>
        <v>0</v>
      </c>
      <c r="G108" s="1263">
        <f t="shared" ref="G108:W108" si="184">+SUM(G110:G113)</f>
        <v>0</v>
      </c>
      <c r="H108" s="1264">
        <f t="shared" ref="H108" si="185">+SUM(H110:H113)</f>
        <v>0</v>
      </c>
      <c r="I108" s="1261">
        <f t="shared" si="184"/>
        <v>0</v>
      </c>
      <c r="J108" s="1262">
        <f t="shared" ref="J108" si="186">+SUM(J110:J113)</f>
        <v>0</v>
      </c>
      <c r="K108" s="1263">
        <f t="shared" si="184"/>
        <v>0</v>
      </c>
      <c r="L108" s="1262">
        <f t="shared" ref="L108" si="187">+SUM(L110:L113)</f>
        <v>0</v>
      </c>
      <c r="M108" s="1263" t="str">
        <f>IFERROR(AVERAGE(M110:M113),"")</f>
        <v/>
      </c>
      <c r="N108" s="1265">
        <f>+SUM(N110:N113)</f>
        <v>0</v>
      </c>
      <c r="O108" s="1309" t="e">
        <f>(I110*O110+I111*O111+I112*O112+I113*O113)/I108</f>
        <v>#DIV/0!</v>
      </c>
      <c r="P108" s="1261">
        <f t="shared" si="184"/>
        <v>0</v>
      </c>
      <c r="Q108" s="1262">
        <f t="shared" ref="Q108" si="188">+SUM(Q110:Q113)</f>
        <v>0</v>
      </c>
      <c r="R108" s="1263">
        <f t="shared" si="184"/>
        <v>0</v>
      </c>
      <c r="S108" s="1264">
        <f t="shared" ref="S108" si="189">+SUM(S110:S113)</f>
        <v>0</v>
      </c>
      <c r="T108" s="1261">
        <f t="shared" si="184"/>
        <v>0</v>
      </c>
      <c r="U108" s="1262">
        <f t="shared" ref="U108" si="190">+SUM(U110:U113)</f>
        <v>0</v>
      </c>
      <c r="V108" s="1263">
        <f t="shared" si="184"/>
        <v>0</v>
      </c>
      <c r="W108" s="1262">
        <f t="shared" si="184"/>
        <v>0</v>
      </c>
      <c r="X108" s="1447"/>
      <c r="Y108" s="1261">
        <f t="shared" si="128"/>
        <v>0</v>
      </c>
      <c r="Z108" s="1268">
        <f t="shared" si="127"/>
        <v>0</v>
      </c>
      <c r="AA108" s="1263">
        <f t="shared" si="159"/>
        <v>0</v>
      </c>
      <c r="AB108" s="1268">
        <f t="shared" si="160"/>
        <v>0</v>
      </c>
      <c r="AC108" s="1212" t="str">
        <f>IFERROR(AVERAGE(AC110:AC113),"")</f>
        <v/>
      </c>
      <c r="AD108" s="1320">
        <f>+SUM(AD110:AD113)</f>
        <v>0</v>
      </c>
      <c r="AE108" s="1309" t="e">
        <f>(Y110*AE110+Y111*AE111+Y112*AE112+Y113*AE113)/Y108</f>
        <v>#DIV/0!</v>
      </c>
      <c r="AF108" s="1271">
        <f>+MAX(AF110:AF113)</f>
        <v>0</v>
      </c>
      <c r="AG108" s="1272">
        <f t="array" ref="AG108">+MIN(IF(AG110:AG113&gt;0,AG110:AG113))</f>
        <v>0</v>
      </c>
      <c r="AH108" s="1163" t="str">
        <f>IF(SUM(Y110:Y113)&gt;0,IF(SUM(Z110:Z113)=0,"Зээлдэгчийн тоог бүрэн шивнэ үү.",""),"")</f>
        <v/>
      </c>
    </row>
    <row r="109" spans="1:34">
      <c r="A109" s="1441"/>
      <c r="B109" s="1216"/>
      <c r="C109" s="774" t="s">
        <v>625</v>
      </c>
      <c r="D109" s="1130">
        <v>97</v>
      </c>
      <c r="E109" s="1217"/>
      <c r="F109" s="1218"/>
      <c r="G109" s="1219"/>
      <c r="H109" s="1220"/>
      <c r="I109" s="1221"/>
      <c r="J109" s="1218"/>
      <c r="K109" s="1219"/>
      <c r="L109" s="1218"/>
      <c r="M109" s="1222"/>
      <c r="N109" s="1223">
        <f>+I109*O109</f>
        <v>0</v>
      </c>
      <c r="O109" s="1224"/>
      <c r="P109" s="1225"/>
      <c r="Q109" s="1218"/>
      <c r="R109" s="1219"/>
      <c r="S109" s="1220"/>
      <c r="T109" s="1221"/>
      <c r="U109" s="1218"/>
      <c r="V109" s="1219"/>
      <c r="W109" s="1218"/>
      <c r="X109" s="1447"/>
      <c r="Y109" s="1226">
        <f t="shared" si="128"/>
        <v>0</v>
      </c>
      <c r="Z109" s="1227">
        <f t="shared" si="127"/>
        <v>0</v>
      </c>
      <c r="AA109" s="1228">
        <f t="shared" si="159"/>
        <v>0</v>
      </c>
      <c r="AB109" s="1227">
        <f t="shared" si="160"/>
        <v>0</v>
      </c>
      <c r="AC109" s="1229"/>
      <c r="AD109" s="1230">
        <f>+Y109*AE109</f>
        <v>0</v>
      </c>
      <c r="AE109" s="1231"/>
      <c r="AF109" s="1231"/>
      <c r="AG109" s="1232"/>
      <c r="AH109" s="1163" t="str">
        <f>IF(I109&gt;0,IF(AND(O109&gt;0,O109&lt;0.15,AE109&gt;0,AE109&lt;0.15,AF109&gt;0,AF109&lt;0.15,AG109&gt;0,AG109&lt;0.15),"","ЗЖДХ болон дээд хүүг сараар шивнэ үү."),"")</f>
        <v/>
      </c>
    </row>
    <row r="110" spans="1:34">
      <c r="A110" s="1441"/>
      <c r="B110" s="1166">
        <v>1</v>
      </c>
      <c r="C110" s="775" t="s">
        <v>163</v>
      </c>
      <c r="D110" s="1130">
        <v>98</v>
      </c>
      <c r="E110" s="1168"/>
      <c r="F110" s="1177"/>
      <c r="G110" s="1170"/>
      <c r="H110" s="1172"/>
      <c r="I110" s="1286"/>
      <c r="J110" s="1177"/>
      <c r="K110" s="1170"/>
      <c r="L110" s="1177"/>
      <c r="M110" s="1287"/>
      <c r="N110" s="1288">
        <f t="shared" si="161"/>
        <v>0</v>
      </c>
      <c r="O110" s="1289"/>
      <c r="P110" s="1290"/>
      <c r="Q110" s="1177"/>
      <c r="R110" s="1170"/>
      <c r="S110" s="1172"/>
      <c r="T110" s="1286"/>
      <c r="U110" s="1177"/>
      <c r="V110" s="1170"/>
      <c r="W110" s="1177"/>
      <c r="X110" s="1447"/>
      <c r="Y110" s="1291">
        <f t="shared" si="128"/>
        <v>0</v>
      </c>
      <c r="Z110" s="1175">
        <f t="shared" si="127"/>
        <v>0</v>
      </c>
      <c r="AA110" s="1176">
        <f t="shared" si="159"/>
        <v>0</v>
      </c>
      <c r="AB110" s="1175">
        <f t="shared" si="160"/>
        <v>0</v>
      </c>
      <c r="AC110" s="1292"/>
      <c r="AD110" s="1293">
        <f t="shared" si="162"/>
        <v>0</v>
      </c>
      <c r="AE110" s="1294"/>
      <c r="AF110" s="1294"/>
      <c r="AG110" s="1295"/>
      <c r="AH110" s="1163" t="str">
        <f>IF(I110&gt;0,IF(AND(O110&gt;0,O110&lt;0.15,AE110&gt;0,AE110&lt;0.15,AF110&gt;0,AF110&lt;0.15,AG110&gt;0,AG110&lt;0.15),"","ЗЖДХ болон дээд хүүг сараар шивнэ үү."),"")</f>
        <v/>
      </c>
    </row>
    <row r="111" spans="1:34">
      <c r="A111" s="1441"/>
      <c r="B111" s="1166">
        <v>2</v>
      </c>
      <c r="C111" s="1144" t="s">
        <v>574</v>
      </c>
      <c r="D111" s="1130">
        <v>99</v>
      </c>
      <c r="E111" s="1168"/>
      <c r="F111" s="1177"/>
      <c r="G111" s="1170"/>
      <c r="H111" s="1172"/>
      <c r="I111" s="1286"/>
      <c r="J111" s="1177"/>
      <c r="K111" s="1170"/>
      <c r="L111" s="1177"/>
      <c r="M111" s="1287"/>
      <c r="N111" s="1288">
        <f t="shared" si="161"/>
        <v>0</v>
      </c>
      <c r="O111" s="1289"/>
      <c r="P111" s="1290"/>
      <c r="Q111" s="1177"/>
      <c r="R111" s="1170"/>
      <c r="S111" s="1172"/>
      <c r="T111" s="1286"/>
      <c r="U111" s="1177"/>
      <c r="V111" s="1170"/>
      <c r="W111" s="1177"/>
      <c r="X111" s="1447"/>
      <c r="Y111" s="1291">
        <f t="shared" si="128"/>
        <v>0</v>
      </c>
      <c r="Z111" s="1175">
        <f t="shared" si="127"/>
        <v>0</v>
      </c>
      <c r="AA111" s="1176">
        <f t="shared" si="159"/>
        <v>0</v>
      </c>
      <c r="AB111" s="1175">
        <f t="shared" si="160"/>
        <v>0</v>
      </c>
      <c r="AC111" s="1292"/>
      <c r="AD111" s="1293">
        <f t="shared" si="162"/>
        <v>0</v>
      </c>
      <c r="AE111" s="1294"/>
      <c r="AF111" s="1294"/>
      <c r="AG111" s="1295"/>
      <c r="AH111" s="1163" t="str">
        <f>IF(I111&gt;0,IF(AND(O111&gt;0,O111&lt;0.15,AE111&gt;0,AE111&lt;0.15,AF111&gt;0,AF111&lt;0.15,AG111&gt;0,AG111&lt;0.15),"","ЗЖДХ болон дээд хүүг сараар шивнэ үү."),"")</f>
        <v/>
      </c>
    </row>
    <row r="112" spans="1:34">
      <c r="A112" s="1441"/>
      <c r="B112" s="1166">
        <v>3</v>
      </c>
      <c r="C112" s="1144" t="s">
        <v>575</v>
      </c>
      <c r="D112" s="1130">
        <v>100</v>
      </c>
      <c r="E112" s="1168"/>
      <c r="F112" s="1177"/>
      <c r="G112" s="1170"/>
      <c r="H112" s="1172"/>
      <c r="I112" s="1286"/>
      <c r="J112" s="1177"/>
      <c r="K112" s="1170"/>
      <c r="L112" s="1177"/>
      <c r="M112" s="1287"/>
      <c r="N112" s="1288">
        <f t="shared" si="161"/>
        <v>0</v>
      </c>
      <c r="O112" s="1289"/>
      <c r="P112" s="1290"/>
      <c r="Q112" s="1177"/>
      <c r="R112" s="1170"/>
      <c r="S112" s="1172"/>
      <c r="T112" s="1286"/>
      <c r="U112" s="1177"/>
      <c r="V112" s="1170"/>
      <c r="W112" s="1177"/>
      <c r="X112" s="1447"/>
      <c r="Y112" s="1291">
        <f t="shared" si="128"/>
        <v>0</v>
      </c>
      <c r="Z112" s="1175">
        <f t="shared" si="127"/>
        <v>0</v>
      </c>
      <c r="AA112" s="1176">
        <f t="shared" si="159"/>
        <v>0</v>
      </c>
      <c r="AB112" s="1175">
        <f t="shared" si="160"/>
        <v>0</v>
      </c>
      <c r="AC112" s="1292"/>
      <c r="AD112" s="1293">
        <f t="shared" si="162"/>
        <v>0</v>
      </c>
      <c r="AE112" s="1294"/>
      <c r="AF112" s="1294"/>
      <c r="AG112" s="1295"/>
      <c r="AH112" s="1163" t="str">
        <f>IF(I112&gt;0,IF(AND(O112&gt;0,O112&lt;0.15,AE112&gt;0,AE112&lt;0.15,AF112&gt;0,AF112&lt;0.15,AG112&gt;0,AG112&lt;0.15),"","ЗЖДХ болон дээд хүүг сараар шивнэ үү."),"")</f>
        <v/>
      </c>
    </row>
    <row r="113" spans="1:34">
      <c r="A113" s="1441"/>
      <c r="B113" s="1310">
        <v>4</v>
      </c>
      <c r="C113" s="1244" t="s">
        <v>576</v>
      </c>
      <c r="D113" s="1130">
        <v>101</v>
      </c>
      <c r="E113" s="1245"/>
      <c r="F113" s="1246"/>
      <c r="G113" s="1173"/>
      <c r="H113" s="1247"/>
      <c r="I113" s="1297"/>
      <c r="J113" s="1246"/>
      <c r="K113" s="1173"/>
      <c r="L113" s="1246"/>
      <c r="M113" s="1298"/>
      <c r="N113" s="1299">
        <f t="shared" si="161"/>
        <v>0</v>
      </c>
      <c r="O113" s="1300"/>
      <c r="P113" s="1301"/>
      <c r="Q113" s="1246"/>
      <c r="R113" s="1173"/>
      <c r="S113" s="1247"/>
      <c r="T113" s="1297"/>
      <c r="U113" s="1246"/>
      <c r="V113" s="1173"/>
      <c r="W113" s="1246"/>
      <c r="X113" s="1447"/>
      <c r="Y113" s="1312">
        <f t="shared" si="128"/>
        <v>0</v>
      </c>
      <c r="Z113" s="1187">
        <f t="shared" si="127"/>
        <v>0</v>
      </c>
      <c r="AA113" s="1313">
        <f t="shared" si="159"/>
        <v>0</v>
      </c>
      <c r="AB113" s="1187">
        <f t="shared" si="160"/>
        <v>0</v>
      </c>
      <c r="AC113" s="1314"/>
      <c r="AD113" s="1315">
        <f t="shared" si="162"/>
        <v>0</v>
      </c>
      <c r="AE113" s="1316"/>
      <c r="AF113" s="1316"/>
      <c r="AG113" s="1317"/>
      <c r="AH113" s="1163" t="str">
        <f>IF(I113&gt;0,IF(AND(O113&gt;0,O113&lt;0.15,AE113&gt;0,AE113&lt;0.15,AF113&gt;0,AF113&lt;0.15,AG113&gt;0,AG113&lt;0.15),"","ЗЖДХ болон дээд хүүг сараар шивнэ үү."),"")</f>
        <v/>
      </c>
    </row>
    <row r="114" spans="1:34" ht="25.5">
      <c r="A114" s="1440" t="s">
        <v>626</v>
      </c>
      <c r="B114" s="1311">
        <v>34</v>
      </c>
      <c r="C114" s="776" t="s">
        <v>627</v>
      </c>
      <c r="D114" s="1130">
        <v>102</v>
      </c>
      <c r="E114" s="1261">
        <f t="shared" ref="E114:W114" si="191">+SUM(E116:E119)</f>
        <v>0</v>
      </c>
      <c r="F114" s="1262">
        <f t="shared" ref="F114" si="192">+SUM(F116:F119)</f>
        <v>0</v>
      </c>
      <c r="G114" s="1263">
        <f t="shared" si="191"/>
        <v>0</v>
      </c>
      <c r="H114" s="1264">
        <f t="shared" ref="H114" si="193">+SUM(H116:H119)</f>
        <v>0</v>
      </c>
      <c r="I114" s="1261">
        <f t="shared" si="191"/>
        <v>0</v>
      </c>
      <c r="J114" s="1262">
        <f t="shared" ref="J114" si="194">+SUM(J116:J119)</f>
        <v>0</v>
      </c>
      <c r="K114" s="1263">
        <f t="shared" si="191"/>
        <v>0</v>
      </c>
      <c r="L114" s="1262">
        <f t="shared" ref="L114" si="195">+SUM(L116:L119)</f>
        <v>0</v>
      </c>
      <c r="M114" s="1263" t="str">
        <f>IFERROR(AVERAGE(M116:M119),"")</f>
        <v/>
      </c>
      <c r="N114" s="1265">
        <f>+SUM(N116:N119)</f>
        <v>0</v>
      </c>
      <c r="O114" s="1309" t="e">
        <f>(I116*O116+I117*O117+I118*O118+I119*O119)/I114</f>
        <v>#DIV/0!</v>
      </c>
      <c r="P114" s="1261">
        <f t="shared" si="191"/>
        <v>0</v>
      </c>
      <c r="Q114" s="1262">
        <f t="shared" ref="Q114" si="196">+SUM(Q116:Q119)</f>
        <v>0</v>
      </c>
      <c r="R114" s="1263">
        <f t="shared" si="191"/>
        <v>0</v>
      </c>
      <c r="S114" s="1264">
        <f t="shared" ref="S114" si="197">+SUM(S116:S119)</f>
        <v>0</v>
      </c>
      <c r="T114" s="1261">
        <f t="shared" si="191"/>
        <v>0</v>
      </c>
      <c r="U114" s="1262">
        <f t="shared" ref="U114" si="198">+SUM(U116:U119)</f>
        <v>0</v>
      </c>
      <c r="V114" s="1263">
        <f t="shared" si="191"/>
        <v>0</v>
      </c>
      <c r="W114" s="1262">
        <f t="shared" si="191"/>
        <v>0</v>
      </c>
      <c r="X114" s="1447"/>
      <c r="Y114" s="1261">
        <f t="shared" si="128"/>
        <v>0</v>
      </c>
      <c r="Z114" s="1268">
        <f t="shared" si="127"/>
        <v>0</v>
      </c>
      <c r="AA114" s="1263">
        <f t="shared" si="159"/>
        <v>0</v>
      </c>
      <c r="AB114" s="1268">
        <f t="shared" si="160"/>
        <v>0</v>
      </c>
      <c r="AC114" s="1212" t="str">
        <f>IFERROR(AVERAGE(AC116:AC119),"")</f>
        <v/>
      </c>
      <c r="AD114" s="1320">
        <f>+SUM(AD116:AD119)</f>
        <v>0</v>
      </c>
      <c r="AE114" s="1309" t="e">
        <f>(Y116*AE116+Y117*AE117+Y118*AE118+Y119*AE119)/Y114</f>
        <v>#DIV/0!</v>
      </c>
      <c r="AF114" s="1271">
        <f>+MAX(AF116:AF119)</f>
        <v>0</v>
      </c>
      <c r="AG114" s="1272">
        <f t="array" ref="AG114">+MIN(IF(AG116:AG119&gt;0,AG116:AG119))</f>
        <v>0</v>
      </c>
      <c r="AH114" s="1163" t="str">
        <f>IF(SUM(Y116:Y119)&gt;0,IF(SUM(Z116:Z119)=0,"Зээлдэгчийн тоог бүрэн шивнэ үү.",""),"")</f>
        <v/>
      </c>
    </row>
    <row r="115" spans="1:34">
      <c r="A115" s="1441"/>
      <c r="B115" s="1216"/>
      <c r="C115" s="774" t="s">
        <v>628</v>
      </c>
      <c r="D115" s="1130">
        <v>103</v>
      </c>
      <c r="E115" s="1217"/>
      <c r="F115" s="1218"/>
      <c r="G115" s="1219"/>
      <c r="H115" s="1220"/>
      <c r="I115" s="1221"/>
      <c r="J115" s="1218"/>
      <c r="K115" s="1219"/>
      <c r="L115" s="1218"/>
      <c r="M115" s="1222"/>
      <c r="N115" s="1223">
        <f t="shared" si="161"/>
        <v>0</v>
      </c>
      <c r="O115" s="1224"/>
      <c r="P115" s="1225"/>
      <c r="Q115" s="1218"/>
      <c r="R115" s="1219"/>
      <c r="S115" s="1220"/>
      <c r="T115" s="1221"/>
      <c r="U115" s="1218"/>
      <c r="V115" s="1219"/>
      <c r="W115" s="1218"/>
      <c r="X115" s="1447"/>
      <c r="Y115" s="1226">
        <f t="shared" si="128"/>
        <v>0</v>
      </c>
      <c r="Z115" s="1227">
        <f t="shared" si="127"/>
        <v>0</v>
      </c>
      <c r="AA115" s="1228">
        <f t="shared" si="159"/>
        <v>0</v>
      </c>
      <c r="AB115" s="1227">
        <f t="shared" si="160"/>
        <v>0</v>
      </c>
      <c r="AC115" s="1229"/>
      <c r="AD115" s="1230">
        <f t="shared" si="162"/>
        <v>0</v>
      </c>
      <c r="AE115" s="1231"/>
      <c r="AF115" s="1231"/>
      <c r="AG115" s="1232"/>
      <c r="AH115" s="1163" t="str">
        <f>IF(I115&gt;0,IF(AND(O115&gt;0,O115&lt;0.15,AE115&gt;0,AE115&lt;0.15,AF115&gt;0,AF115&lt;0.15,AG115&gt;0,AG115&lt;0.15),"","ЗЖДХ болон дээд хүүг сараар шивнэ үү."),"")</f>
        <v/>
      </c>
    </row>
    <row r="116" spans="1:34">
      <c r="A116" s="1441"/>
      <c r="B116" s="1166">
        <v>1</v>
      </c>
      <c r="C116" s="775" t="s">
        <v>163</v>
      </c>
      <c r="D116" s="1130">
        <v>104</v>
      </c>
      <c r="E116" s="1168"/>
      <c r="F116" s="1177"/>
      <c r="G116" s="1170"/>
      <c r="H116" s="1172"/>
      <c r="I116" s="1286"/>
      <c r="J116" s="1177"/>
      <c r="K116" s="1170"/>
      <c r="L116" s="1177"/>
      <c r="M116" s="1287"/>
      <c r="N116" s="1288">
        <f t="shared" si="161"/>
        <v>0</v>
      </c>
      <c r="O116" s="1289"/>
      <c r="P116" s="1290"/>
      <c r="Q116" s="1177"/>
      <c r="R116" s="1170"/>
      <c r="S116" s="1172"/>
      <c r="T116" s="1286"/>
      <c r="U116" s="1177"/>
      <c r="V116" s="1170"/>
      <c r="W116" s="1177"/>
      <c r="X116" s="1447"/>
      <c r="Y116" s="1291">
        <f t="shared" si="128"/>
        <v>0</v>
      </c>
      <c r="Z116" s="1175">
        <f t="shared" si="127"/>
        <v>0</v>
      </c>
      <c r="AA116" s="1176">
        <f t="shared" si="159"/>
        <v>0</v>
      </c>
      <c r="AB116" s="1175">
        <f t="shared" si="160"/>
        <v>0</v>
      </c>
      <c r="AC116" s="1292"/>
      <c r="AD116" s="1293">
        <f t="shared" si="162"/>
        <v>0</v>
      </c>
      <c r="AE116" s="1294"/>
      <c r="AF116" s="1294"/>
      <c r="AG116" s="1295"/>
      <c r="AH116" s="1163" t="str">
        <f>IF(I116&gt;0,IF(AND(O116&gt;0,O116&lt;0.15,AE116&gt;0,AE116&lt;0.15,AF116&gt;0,AF116&lt;0.15,AG116&gt;0,AG116&lt;0.15),"","ЗЖДХ болон дээд хүүг сараар шивнэ үү."),"")</f>
        <v/>
      </c>
    </row>
    <row r="117" spans="1:34">
      <c r="A117" s="1441"/>
      <c r="B117" s="1166">
        <v>2</v>
      </c>
      <c r="C117" s="1144" t="s">
        <v>574</v>
      </c>
      <c r="D117" s="1130">
        <v>105</v>
      </c>
      <c r="E117" s="1168"/>
      <c r="F117" s="1177"/>
      <c r="G117" s="1170"/>
      <c r="H117" s="1172"/>
      <c r="I117" s="1286"/>
      <c r="J117" s="1177"/>
      <c r="K117" s="1170"/>
      <c r="L117" s="1177"/>
      <c r="M117" s="1287"/>
      <c r="N117" s="1288">
        <f t="shared" si="161"/>
        <v>0</v>
      </c>
      <c r="O117" s="1289"/>
      <c r="P117" s="1290"/>
      <c r="Q117" s="1177"/>
      <c r="R117" s="1170"/>
      <c r="S117" s="1172"/>
      <c r="T117" s="1286"/>
      <c r="U117" s="1177"/>
      <c r="V117" s="1170"/>
      <c r="W117" s="1177"/>
      <c r="X117" s="1447"/>
      <c r="Y117" s="1291">
        <f t="shared" si="128"/>
        <v>0</v>
      </c>
      <c r="Z117" s="1175">
        <f t="shared" si="127"/>
        <v>0</v>
      </c>
      <c r="AA117" s="1176">
        <f t="shared" si="159"/>
        <v>0</v>
      </c>
      <c r="AB117" s="1175">
        <f t="shared" si="160"/>
        <v>0</v>
      </c>
      <c r="AC117" s="1292"/>
      <c r="AD117" s="1293">
        <f t="shared" si="162"/>
        <v>0</v>
      </c>
      <c r="AE117" s="1294"/>
      <c r="AF117" s="1294"/>
      <c r="AG117" s="1295"/>
      <c r="AH117" s="1163" t="str">
        <f>IF(I117&gt;0,IF(AND(O117&gt;0,O117&lt;0.15,AE117&gt;0,AE117&lt;0.15,AF117&gt;0,AF117&lt;0.15,AG117&gt;0,AG117&lt;0.15),"","ЗЖДХ болон дээд хүүг сараар шивнэ үү."),"")</f>
        <v/>
      </c>
    </row>
    <row r="118" spans="1:34">
      <c r="A118" s="1441"/>
      <c r="B118" s="1166">
        <v>3</v>
      </c>
      <c r="C118" s="1144" t="s">
        <v>575</v>
      </c>
      <c r="D118" s="1130">
        <v>106</v>
      </c>
      <c r="E118" s="1168"/>
      <c r="F118" s="1177"/>
      <c r="G118" s="1170"/>
      <c r="H118" s="1172"/>
      <c r="I118" s="1286"/>
      <c r="J118" s="1177"/>
      <c r="K118" s="1170"/>
      <c r="L118" s="1177"/>
      <c r="M118" s="1287"/>
      <c r="N118" s="1288">
        <f t="shared" si="161"/>
        <v>0</v>
      </c>
      <c r="O118" s="1289"/>
      <c r="P118" s="1290"/>
      <c r="Q118" s="1177"/>
      <c r="R118" s="1170"/>
      <c r="S118" s="1172"/>
      <c r="T118" s="1286"/>
      <c r="U118" s="1177"/>
      <c r="V118" s="1170"/>
      <c r="W118" s="1177"/>
      <c r="X118" s="1447"/>
      <c r="Y118" s="1291">
        <f t="shared" si="128"/>
        <v>0</v>
      </c>
      <c r="Z118" s="1175">
        <f t="shared" si="127"/>
        <v>0</v>
      </c>
      <c r="AA118" s="1176">
        <f t="shared" si="159"/>
        <v>0</v>
      </c>
      <c r="AB118" s="1175">
        <f t="shared" si="160"/>
        <v>0</v>
      </c>
      <c r="AC118" s="1292"/>
      <c r="AD118" s="1293">
        <f t="shared" si="162"/>
        <v>0</v>
      </c>
      <c r="AE118" s="1294"/>
      <c r="AF118" s="1294"/>
      <c r="AG118" s="1295"/>
      <c r="AH118" s="1163" t="str">
        <f>IF(I118&gt;0,IF(AND(O118&gt;0,O118&lt;0.15,AE118&gt;0,AE118&lt;0.15,AF118&gt;0,AF118&lt;0.15,AG118&gt;0,AG118&lt;0.15),"","ЗЖДХ болон дээд хүүг сараар шивнэ үү."),"")</f>
        <v/>
      </c>
    </row>
    <row r="119" spans="1:34">
      <c r="A119" s="1441"/>
      <c r="B119" s="1310">
        <v>4</v>
      </c>
      <c r="C119" s="1244" t="s">
        <v>576</v>
      </c>
      <c r="D119" s="1130">
        <v>107</v>
      </c>
      <c r="E119" s="1245"/>
      <c r="F119" s="1246"/>
      <c r="G119" s="1173"/>
      <c r="H119" s="1247"/>
      <c r="I119" s="1297"/>
      <c r="J119" s="1246"/>
      <c r="K119" s="1173"/>
      <c r="L119" s="1246"/>
      <c r="M119" s="1298"/>
      <c r="N119" s="1299">
        <f t="shared" si="161"/>
        <v>0</v>
      </c>
      <c r="O119" s="1300"/>
      <c r="P119" s="1301"/>
      <c r="Q119" s="1246"/>
      <c r="R119" s="1173"/>
      <c r="S119" s="1247"/>
      <c r="T119" s="1297"/>
      <c r="U119" s="1246"/>
      <c r="V119" s="1173"/>
      <c r="W119" s="1246"/>
      <c r="X119" s="1447"/>
      <c r="Y119" s="1312">
        <f t="shared" si="128"/>
        <v>0</v>
      </c>
      <c r="Z119" s="1187">
        <f t="shared" si="127"/>
        <v>0</v>
      </c>
      <c r="AA119" s="1313">
        <f t="shared" si="159"/>
        <v>0</v>
      </c>
      <c r="AB119" s="1187">
        <f t="shared" si="160"/>
        <v>0</v>
      </c>
      <c r="AC119" s="1314"/>
      <c r="AD119" s="1315">
        <f t="shared" si="162"/>
        <v>0</v>
      </c>
      <c r="AE119" s="1316"/>
      <c r="AF119" s="1316"/>
      <c r="AG119" s="1317"/>
      <c r="AH119" s="1163" t="str">
        <f>IF(I119&gt;0,IF(AND(O119&gt;0,O119&lt;0.15,AE119&gt;0,AE119&lt;0.15,AF119&gt;0,AF119&lt;0.15,AG119&gt;0,AG119&lt;0.15),"","ЗЖДХ болон дээд хүүг сараар шивнэ үү."),"")</f>
        <v/>
      </c>
    </row>
    <row r="120" spans="1:34">
      <c r="A120" s="1440" t="s">
        <v>629</v>
      </c>
      <c r="B120" s="1311">
        <v>35</v>
      </c>
      <c r="C120" s="777" t="s">
        <v>630</v>
      </c>
      <c r="D120" s="1130">
        <v>108</v>
      </c>
      <c r="E120" s="1261">
        <f t="shared" ref="E120:W120" si="199">+SUM(E121:E124)</f>
        <v>0</v>
      </c>
      <c r="F120" s="1262">
        <f t="shared" ref="F120" si="200">+SUM(F121:F124)</f>
        <v>0</v>
      </c>
      <c r="G120" s="1263">
        <f t="shared" si="199"/>
        <v>0</v>
      </c>
      <c r="H120" s="1264">
        <f t="shared" ref="H120" si="201">+SUM(H121:H124)</f>
        <v>0</v>
      </c>
      <c r="I120" s="1261">
        <f t="shared" si="199"/>
        <v>0</v>
      </c>
      <c r="J120" s="1262">
        <f t="shared" ref="J120" si="202">+SUM(J121:J124)</f>
        <v>0</v>
      </c>
      <c r="K120" s="1263">
        <f t="shared" si="199"/>
        <v>0</v>
      </c>
      <c r="L120" s="1262">
        <f t="shared" ref="L120" si="203">+SUM(L121:L124)</f>
        <v>0</v>
      </c>
      <c r="M120" s="1263" t="str">
        <f>IFERROR(AVERAGE(M121:M124),"")</f>
        <v/>
      </c>
      <c r="N120" s="1265">
        <f>+SUM(N121:N124)</f>
        <v>0</v>
      </c>
      <c r="O120" s="1309" t="e">
        <f>(I121*O121+I122*O122+I123*O123+I124*O124)/I120</f>
        <v>#DIV/0!</v>
      </c>
      <c r="P120" s="1261">
        <f t="shared" si="199"/>
        <v>0</v>
      </c>
      <c r="Q120" s="1262">
        <f t="shared" ref="Q120" si="204">+SUM(Q121:Q124)</f>
        <v>0</v>
      </c>
      <c r="R120" s="1263">
        <f t="shared" si="199"/>
        <v>0</v>
      </c>
      <c r="S120" s="1264">
        <f t="shared" ref="S120" si="205">+SUM(S121:S124)</f>
        <v>0</v>
      </c>
      <c r="T120" s="1261">
        <f t="shared" si="199"/>
        <v>0</v>
      </c>
      <c r="U120" s="1262">
        <f t="shared" ref="U120" si="206">+SUM(U121:U124)</f>
        <v>0</v>
      </c>
      <c r="V120" s="1263">
        <f t="shared" si="199"/>
        <v>0</v>
      </c>
      <c r="W120" s="1262">
        <f t="shared" si="199"/>
        <v>0</v>
      </c>
      <c r="X120" s="1447"/>
      <c r="Y120" s="1261">
        <f t="shared" si="128"/>
        <v>0</v>
      </c>
      <c r="Z120" s="1268">
        <f t="shared" si="127"/>
        <v>0</v>
      </c>
      <c r="AA120" s="1263">
        <f t="shared" si="159"/>
        <v>0</v>
      </c>
      <c r="AB120" s="1268">
        <f t="shared" si="160"/>
        <v>0</v>
      </c>
      <c r="AC120" s="1212" t="str">
        <f>IFERROR(AVERAGE(AC121:AC124),"")</f>
        <v/>
      </c>
      <c r="AD120" s="1320">
        <f>+SUM(AD121:AD124)</f>
        <v>0</v>
      </c>
      <c r="AE120" s="1309" t="e">
        <f>(Y121*AE121+Y122*AE122+Y123*AE123+Y124*AE124)/Y120</f>
        <v>#DIV/0!</v>
      </c>
      <c r="AF120" s="1271">
        <f>+MAX(AF121:AF124)</f>
        <v>0</v>
      </c>
      <c r="AG120" s="1272">
        <f t="array" ref="AG120">+MIN(IF(AG121:AG124&gt;0,AG121:AG124))</f>
        <v>0</v>
      </c>
      <c r="AH120" s="1163" t="str">
        <f>IF(SUM(Y121:Y124)&gt;0,IF(SUM(Z121:Z124)=0,"Зээлдэгчийн тоог бүрэн шивнэ үү.",""),"")</f>
        <v/>
      </c>
    </row>
    <row r="121" spans="1:34">
      <c r="A121" s="1441"/>
      <c r="B121" s="1273">
        <v>1</v>
      </c>
      <c r="C121" s="774" t="s">
        <v>163</v>
      </c>
      <c r="D121" s="1130">
        <v>109</v>
      </c>
      <c r="E121" s="1217"/>
      <c r="F121" s="1218"/>
      <c r="G121" s="1219"/>
      <c r="H121" s="1220"/>
      <c r="I121" s="1274"/>
      <c r="J121" s="1218"/>
      <c r="K121" s="1219"/>
      <c r="L121" s="1218"/>
      <c r="M121" s="1275"/>
      <c r="N121" s="1276">
        <f t="shared" si="161"/>
        <v>0</v>
      </c>
      <c r="O121" s="1277"/>
      <c r="P121" s="1278"/>
      <c r="Q121" s="1218"/>
      <c r="R121" s="1219"/>
      <c r="S121" s="1220"/>
      <c r="T121" s="1274"/>
      <c r="U121" s="1218"/>
      <c r="V121" s="1219"/>
      <c r="W121" s="1218"/>
      <c r="X121" s="1447"/>
      <c r="Y121" s="1279">
        <f t="shared" si="128"/>
        <v>0</v>
      </c>
      <c r="Z121" s="1280">
        <f t="shared" si="127"/>
        <v>0</v>
      </c>
      <c r="AA121" s="1281">
        <f t="shared" si="159"/>
        <v>0</v>
      </c>
      <c r="AB121" s="1280">
        <f t="shared" si="160"/>
        <v>0</v>
      </c>
      <c r="AC121" s="1282"/>
      <c r="AD121" s="1283">
        <f t="shared" si="162"/>
        <v>0</v>
      </c>
      <c r="AE121" s="1284"/>
      <c r="AF121" s="1284"/>
      <c r="AG121" s="1285"/>
      <c r="AH121" s="1163" t="str">
        <f>IF(I121&gt;0,IF(AND(O121&gt;0,O121&lt;0.15,AE121&gt;0,AE121&lt;0.15,AF121&gt;0,AF121&lt;0.15,AG121&gt;0,AG121&lt;0.15),"","ЗЖДХ болон дээд хүүг сараар шивнэ үү."),"")</f>
        <v/>
      </c>
    </row>
    <row r="122" spans="1:34">
      <c r="A122" s="1441"/>
      <c r="B122" s="1166">
        <v>2</v>
      </c>
      <c r="C122" s="1144" t="s">
        <v>574</v>
      </c>
      <c r="D122" s="1130">
        <v>110</v>
      </c>
      <c r="E122" s="1168"/>
      <c r="F122" s="1177"/>
      <c r="G122" s="1170"/>
      <c r="H122" s="1172"/>
      <c r="I122" s="1286"/>
      <c r="J122" s="1177"/>
      <c r="K122" s="1170"/>
      <c r="L122" s="1177"/>
      <c r="M122" s="1287"/>
      <c r="N122" s="1288">
        <f t="shared" si="161"/>
        <v>0</v>
      </c>
      <c r="O122" s="1289"/>
      <c r="P122" s="1290"/>
      <c r="Q122" s="1177"/>
      <c r="R122" s="1170"/>
      <c r="S122" s="1172"/>
      <c r="T122" s="1286"/>
      <c r="U122" s="1177"/>
      <c r="V122" s="1170"/>
      <c r="W122" s="1177"/>
      <c r="X122" s="1447"/>
      <c r="Y122" s="1291">
        <f t="shared" si="128"/>
        <v>0</v>
      </c>
      <c r="Z122" s="1175">
        <f t="shared" si="127"/>
        <v>0</v>
      </c>
      <c r="AA122" s="1176">
        <f t="shared" si="159"/>
        <v>0</v>
      </c>
      <c r="AB122" s="1175">
        <f t="shared" si="160"/>
        <v>0</v>
      </c>
      <c r="AC122" s="1292"/>
      <c r="AD122" s="1293">
        <f t="shared" si="162"/>
        <v>0</v>
      </c>
      <c r="AE122" s="1294"/>
      <c r="AF122" s="1294"/>
      <c r="AG122" s="1295"/>
      <c r="AH122" s="1163" t="str">
        <f>IF(I122&gt;0,IF(AND(O122&gt;0,O122&lt;0.15,AE122&gt;0,AE122&lt;0.15,AF122&gt;0,AF122&lt;0.15,AG122&gt;0,AG122&lt;0.15),"","ЗЖДХ болон дээд хүүг сараар шивнэ үү."),"")</f>
        <v/>
      </c>
    </row>
    <row r="123" spans="1:34">
      <c r="A123" s="1441"/>
      <c r="B123" s="1166">
        <v>3</v>
      </c>
      <c r="C123" s="1144" t="s">
        <v>575</v>
      </c>
      <c r="D123" s="1130">
        <v>111</v>
      </c>
      <c r="E123" s="1168"/>
      <c r="F123" s="1177"/>
      <c r="G123" s="1170"/>
      <c r="H123" s="1172"/>
      <c r="I123" s="1286"/>
      <c r="J123" s="1177"/>
      <c r="K123" s="1170"/>
      <c r="L123" s="1177"/>
      <c r="M123" s="1287"/>
      <c r="N123" s="1288">
        <f t="shared" si="161"/>
        <v>0</v>
      </c>
      <c r="O123" s="1289"/>
      <c r="P123" s="1290"/>
      <c r="Q123" s="1177"/>
      <c r="R123" s="1170"/>
      <c r="S123" s="1172"/>
      <c r="T123" s="1286"/>
      <c r="U123" s="1177"/>
      <c r="V123" s="1170"/>
      <c r="W123" s="1177"/>
      <c r="X123" s="1447"/>
      <c r="Y123" s="1291">
        <f t="shared" si="128"/>
        <v>0</v>
      </c>
      <c r="Z123" s="1175">
        <f t="shared" si="127"/>
        <v>0</v>
      </c>
      <c r="AA123" s="1176">
        <f t="shared" si="159"/>
        <v>0</v>
      </c>
      <c r="AB123" s="1175">
        <f t="shared" si="160"/>
        <v>0</v>
      </c>
      <c r="AC123" s="1292"/>
      <c r="AD123" s="1293">
        <f t="shared" si="162"/>
        <v>0</v>
      </c>
      <c r="AE123" s="1294"/>
      <c r="AF123" s="1294"/>
      <c r="AG123" s="1295"/>
      <c r="AH123" s="1163" t="str">
        <f>IF(I123&gt;0,IF(AND(O123&gt;0,O123&lt;0.15,AE123&gt;0,AE123&lt;0.15,AF123&gt;0,AF123&lt;0.15,AG123&gt;0,AG123&lt;0.15),"","ЗЖДХ болон дээд хүүг сараар шивнэ үү."),"")</f>
        <v/>
      </c>
    </row>
    <row r="124" spans="1:34">
      <c r="A124" s="1441"/>
      <c r="B124" s="1310">
        <v>4</v>
      </c>
      <c r="C124" s="1244" t="s">
        <v>576</v>
      </c>
      <c r="D124" s="1130">
        <v>112</v>
      </c>
      <c r="E124" s="1245"/>
      <c r="F124" s="1246"/>
      <c r="G124" s="1173"/>
      <c r="H124" s="1247"/>
      <c r="I124" s="1297"/>
      <c r="J124" s="1246"/>
      <c r="K124" s="1173"/>
      <c r="L124" s="1246"/>
      <c r="M124" s="1298"/>
      <c r="N124" s="1299">
        <f t="shared" si="161"/>
        <v>0</v>
      </c>
      <c r="O124" s="1300"/>
      <c r="P124" s="1301"/>
      <c r="Q124" s="1246"/>
      <c r="R124" s="1173"/>
      <c r="S124" s="1247"/>
      <c r="T124" s="1297"/>
      <c r="U124" s="1246"/>
      <c r="V124" s="1173"/>
      <c r="W124" s="1246"/>
      <c r="X124" s="1447"/>
      <c r="Y124" s="1312">
        <f t="shared" si="128"/>
        <v>0</v>
      </c>
      <c r="Z124" s="1187">
        <f t="shared" si="127"/>
        <v>0</v>
      </c>
      <c r="AA124" s="1313">
        <f t="shared" si="159"/>
        <v>0</v>
      </c>
      <c r="AB124" s="1187">
        <f t="shared" si="160"/>
        <v>0</v>
      </c>
      <c r="AC124" s="1314"/>
      <c r="AD124" s="1315">
        <f t="shared" si="162"/>
        <v>0</v>
      </c>
      <c r="AE124" s="1316"/>
      <c r="AF124" s="1316"/>
      <c r="AG124" s="1317"/>
      <c r="AH124" s="1163" t="str">
        <f>IF(I124&gt;0,IF(AND(O124&gt;0,O124&lt;0.15,AE124&gt;0,AE124&lt;0.15,AF124&gt;0,AF124&lt;0.15,AG124&gt;0,AG124&lt;0.15),"","ЗЖДХ болон дээд хүүг сараар шивнэ үү."),"")</f>
        <v/>
      </c>
    </row>
    <row r="125" spans="1:34">
      <c r="A125" s="1440" t="s">
        <v>631</v>
      </c>
      <c r="B125" s="1311">
        <v>36</v>
      </c>
      <c r="C125" s="777" t="s">
        <v>632</v>
      </c>
      <c r="D125" s="1130">
        <v>113</v>
      </c>
      <c r="E125" s="1261">
        <f t="shared" ref="E125:W125" si="207">+SUM(E126:E129)</f>
        <v>0</v>
      </c>
      <c r="F125" s="1262">
        <f t="shared" ref="F125" si="208">+SUM(F126:F129)</f>
        <v>0</v>
      </c>
      <c r="G125" s="1263">
        <f t="shared" si="207"/>
        <v>0</v>
      </c>
      <c r="H125" s="1264">
        <f t="shared" ref="H125" si="209">+SUM(H126:H129)</f>
        <v>0</v>
      </c>
      <c r="I125" s="1261">
        <f t="shared" si="207"/>
        <v>0</v>
      </c>
      <c r="J125" s="1262">
        <f t="shared" ref="J125" si="210">+SUM(J126:J129)</f>
        <v>0</v>
      </c>
      <c r="K125" s="1263">
        <f t="shared" si="207"/>
        <v>0</v>
      </c>
      <c r="L125" s="1262">
        <f t="shared" ref="L125" si="211">+SUM(L126:L129)</f>
        <v>0</v>
      </c>
      <c r="M125" s="1263" t="str">
        <f>IFERROR(AVERAGE(M126:M129),"")</f>
        <v/>
      </c>
      <c r="N125" s="1265">
        <f t="shared" ref="N125" si="212">+SUM(N126:N129)</f>
        <v>0</v>
      </c>
      <c r="O125" s="1309" t="e">
        <f>(I126*O126+I127*O127+I128*O128+I129*O129)/I125</f>
        <v>#DIV/0!</v>
      </c>
      <c r="P125" s="1261">
        <f t="shared" si="207"/>
        <v>0</v>
      </c>
      <c r="Q125" s="1262">
        <f t="shared" ref="Q125" si="213">+SUM(Q126:Q129)</f>
        <v>0</v>
      </c>
      <c r="R125" s="1263">
        <f t="shared" si="207"/>
        <v>0</v>
      </c>
      <c r="S125" s="1264">
        <f t="shared" ref="S125" si="214">+SUM(S126:S129)</f>
        <v>0</v>
      </c>
      <c r="T125" s="1261">
        <f t="shared" si="207"/>
        <v>0</v>
      </c>
      <c r="U125" s="1262">
        <f t="shared" ref="U125" si="215">+SUM(U126:U129)</f>
        <v>0</v>
      </c>
      <c r="V125" s="1263">
        <f t="shared" si="207"/>
        <v>0</v>
      </c>
      <c r="W125" s="1262">
        <f t="shared" si="207"/>
        <v>0</v>
      </c>
      <c r="X125" s="1447"/>
      <c r="Y125" s="1261">
        <f t="shared" si="128"/>
        <v>0</v>
      </c>
      <c r="Z125" s="1268">
        <f t="shared" si="127"/>
        <v>0</v>
      </c>
      <c r="AA125" s="1263">
        <f t="shared" si="159"/>
        <v>0</v>
      </c>
      <c r="AB125" s="1268">
        <f t="shared" si="160"/>
        <v>0</v>
      </c>
      <c r="AC125" s="1212" t="str">
        <f>IFERROR(AVERAGE(AC126:AC129),"")</f>
        <v/>
      </c>
      <c r="AD125" s="1320">
        <f t="shared" ref="AD125" si="216">+SUM(AD126:AD129)</f>
        <v>0</v>
      </c>
      <c r="AE125" s="1309" t="e">
        <f>(Y126*AE126+Y127*AE127+Y128*AE128+Y129*AE129)/Y125</f>
        <v>#DIV/0!</v>
      </c>
      <c r="AF125" s="1271">
        <f>+MAX(AF126:AF129)</f>
        <v>0</v>
      </c>
      <c r="AG125" s="1272">
        <f t="array" ref="AG125">+MIN(IF(AG126:AG129&gt;0,AG126:AG129))</f>
        <v>0</v>
      </c>
      <c r="AH125" s="1163" t="str">
        <f>IF(SUM(Y126:Y129)&gt;0,IF(SUM(Z126:Z129)=0,"Зээлдэгчийн тоог бүрэн шивнэ үү.",""),"")</f>
        <v/>
      </c>
    </row>
    <row r="126" spans="1:34">
      <c r="A126" s="1441"/>
      <c r="B126" s="1273">
        <v>1</v>
      </c>
      <c r="C126" s="774" t="s">
        <v>163</v>
      </c>
      <c r="D126" s="1130">
        <v>114</v>
      </c>
      <c r="E126" s="1217"/>
      <c r="F126" s="1218"/>
      <c r="G126" s="1219"/>
      <c r="H126" s="1220"/>
      <c r="I126" s="1274"/>
      <c r="J126" s="1218"/>
      <c r="K126" s="1219"/>
      <c r="L126" s="1218"/>
      <c r="M126" s="1275"/>
      <c r="N126" s="1276">
        <f t="shared" si="161"/>
        <v>0</v>
      </c>
      <c r="O126" s="1277"/>
      <c r="P126" s="1278"/>
      <c r="Q126" s="1218"/>
      <c r="R126" s="1219"/>
      <c r="S126" s="1220"/>
      <c r="T126" s="1274"/>
      <c r="U126" s="1218"/>
      <c r="V126" s="1219"/>
      <c r="W126" s="1218"/>
      <c r="X126" s="1447"/>
      <c r="Y126" s="1279">
        <f t="shared" si="128"/>
        <v>0</v>
      </c>
      <c r="Z126" s="1280">
        <f t="shared" si="127"/>
        <v>0</v>
      </c>
      <c r="AA126" s="1281">
        <f t="shared" si="159"/>
        <v>0</v>
      </c>
      <c r="AB126" s="1280">
        <f t="shared" si="160"/>
        <v>0</v>
      </c>
      <c r="AC126" s="1282"/>
      <c r="AD126" s="1283">
        <f t="shared" si="162"/>
        <v>0</v>
      </c>
      <c r="AE126" s="1284"/>
      <c r="AF126" s="1284"/>
      <c r="AG126" s="1285"/>
      <c r="AH126" s="1163" t="str">
        <f>IF(I126&gt;0,IF(AND(O126&gt;0,O126&lt;0.15,AE126&gt;0,AE126&lt;0.15,AF126&gt;0,AF126&lt;0.15,AG126&gt;0,AG126&lt;0.15),"","ЗЖДХ болон дээд хүүг сараар шивнэ үү."),"")</f>
        <v/>
      </c>
    </row>
    <row r="127" spans="1:34">
      <c r="A127" s="1441"/>
      <c r="B127" s="1166">
        <v>2</v>
      </c>
      <c r="C127" s="1144" t="s">
        <v>574</v>
      </c>
      <c r="D127" s="1130">
        <v>115</v>
      </c>
      <c r="E127" s="1168"/>
      <c r="F127" s="1177"/>
      <c r="G127" s="1170"/>
      <c r="H127" s="1172"/>
      <c r="I127" s="1286"/>
      <c r="J127" s="1177"/>
      <c r="K127" s="1170"/>
      <c r="L127" s="1177"/>
      <c r="M127" s="1287"/>
      <c r="N127" s="1288">
        <f t="shared" si="161"/>
        <v>0</v>
      </c>
      <c r="O127" s="1289"/>
      <c r="P127" s="1290"/>
      <c r="Q127" s="1177"/>
      <c r="R127" s="1170"/>
      <c r="S127" s="1172"/>
      <c r="T127" s="1286"/>
      <c r="U127" s="1177"/>
      <c r="V127" s="1170"/>
      <c r="W127" s="1177"/>
      <c r="X127" s="1447"/>
      <c r="Y127" s="1291">
        <f t="shared" si="128"/>
        <v>0</v>
      </c>
      <c r="Z127" s="1175">
        <f t="shared" si="127"/>
        <v>0</v>
      </c>
      <c r="AA127" s="1176">
        <f t="shared" si="159"/>
        <v>0</v>
      </c>
      <c r="AB127" s="1175">
        <f t="shared" si="160"/>
        <v>0</v>
      </c>
      <c r="AC127" s="1292"/>
      <c r="AD127" s="1293">
        <f t="shared" si="162"/>
        <v>0</v>
      </c>
      <c r="AE127" s="1294"/>
      <c r="AF127" s="1294"/>
      <c r="AG127" s="1295"/>
      <c r="AH127" s="1163" t="str">
        <f>IF(I127&gt;0,IF(AND(O127&gt;0,O127&lt;0.15,AE127&gt;0,AE127&lt;0.15,AF127&gt;0,AF127&lt;0.15,AG127&gt;0,AG127&lt;0.15),"","ЗЖДХ болон дээд хүүг сараар шивнэ үү."),"")</f>
        <v/>
      </c>
    </row>
    <row r="128" spans="1:34">
      <c r="A128" s="1441"/>
      <c r="B128" s="1166">
        <v>3</v>
      </c>
      <c r="C128" s="1144" t="s">
        <v>575</v>
      </c>
      <c r="D128" s="1130">
        <v>116</v>
      </c>
      <c r="E128" s="1168"/>
      <c r="F128" s="1177"/>
      <c r="G128" s="1170"/>
      <c r="H128" s="1172"/>
      <c r="I128" s="1286"/>
      <c r="J128" s="1177"/>
      <c r="K128" s="1170"/>
      <c r="L128" s="1177"/>
      <c r="M128" s="1287"/>
      <c r="N128" s="1288">
        <f t="shared" si="161"/>
        <v>0</v>
      </c>
      <c r="O128" s="1289"/>
      <c r="P128" s="1290"/>
      <c r="Q128" s="1177"/>
      <c r="R128" s="1170"/>
      <c r="S128" s="1172"/>
      <c r="T128" s="1286"/>
      <c r="U128" s="1177"/>
      <c r="V128" s="1170"/>
      <c r="W128" s="1177"/>
      <c r="X128" s="1447"/>
      <c r="Y128" s="1291">
        <f t="shared" si="128"/>
        <v>0</v>
      </c>
      <c r="Z128" s="1175">
        <f t="shared" si="127"/>
        <v>0</v>
      </c>
      <c r="AA128" s="1176">
        <f t="shared" si="159"/>
        <v>0</v>
      </c>
      <c r="AB128" s="1175">
        <f t="shared" si="160"/>
        <v>0</v>
      </c>
      <c r="AC128" s="1292"/>
      <c r="AD128" s="1293">
        <f t="shared" si="162"/>
        <v>0</v>
      </c>
      <c r="AE128" s="1294"/>
      <c r="AF128" s="1294"/>
      <c r="AG128" s="1295"/>
      <c r="AH128" s="1163" t="str">
        <f>IF(I128&gt;0,IF(AND(O128&gt;0,O128&lt;0.15,AE128&gt;0,AE128&lt;0.15,AF128&gt;0,AF128&lt;0.15,AG128&gt;0,AG128&lt;0.15),"","ЗЖДХ болон дээд хүүг сараар шивнэ үү."),"")</f>
        <v/>
      </c>
    </row>
    <row r="129" spans="1:34">
      <c r="A129" s="1441"/>
      <c r="B129" s="1310">
        <v>4</v>
      </c>
      <c r="C129" s="1244" t="s">
        <v>576</v>
      </c>
      <c r="D129" s="1130">
        <v>117</v>
      </c>
      <c r="E129" s="1245"/>
      <c r="F129" s="1246"/>
      <c r="G129" s="1173"/>
      <c r="H129" s="1247"/>
      <c r="I129" s="1297"/>
      <c r="J129" s="1246"/>
      <c r="K129" s="1173"/>
      <c r="L129" s="1246"/>
      <c r="M129" s="1298"/>
      <c r="N129" s="1299">
        <f t="shared" si="161"/>
        <v>0</v>
      </c>
      <c r="O129" s="1300"/>
      <c r="P129" s="1301"/>
      <c r="Q129" s="1246"/>
      <c r="R129" s="1173"/>
      <c r="S129" s="1247"/>
      <c r="T129" s="1297"/>
      <c r="U129" s="1246"/>
      <c r="V129" s="1173"/>
      <c r="W129" s="1246"/>
      <c r="X129" s="1447"/>
      <c r="Y129" s="1312">
        <f t="shared" si="128"/>
        <v>0</v>
      </c>
      <c r="Z129" s="1187">
        <f t="shared" si="127"/>
        <v>0</v>
      </c>
      <c r="AA129" s="1313">
        <f t="shared" si="159"/>
        <v>0</v>
      </c>
      <c r="AB129" s="1187">
        <f t="shared" si="160"/>
        <v>0</v>
      </c>
      <c r="AC129" s="1314"/>
      <c r="AD129" s="1315">
        <f t="shared" si="162"/>
        <v>0</v>
      </c>
      <c r="AE129" s="1316"/>
      <c r="AF129" s="1316"/>
      <c r="AG129" s="1317"/>
      <c r="AH129" s="1163" t="str">
        <f>IF(I129&gt;0,IF(AND(O129&gt;0,O129&lt;0.15,AE129&gt;0,AE129&lt;0.15,AF129&gt;0,AF129&lt;0.15,AG129&gt;0,AG129&lt;0.15),"","ЗЖДХ болон дээд хүүг сараар шивнэ үү."),"")</f>
        <v/>
      </c>
    </row>
    <row r="130" spans="1:34" ht="63.75">
      <c r="A130" s="1440" t="s">
        <v>633</v>
      </c>
      <c r="B130" s="1311">
        <v>37</v>
      </c>
      <c r="C130" s="777" t="s">
        <v>634</v>
      </c>
      <c r="D130" s="1130">
        <v>118</v>
      </c>
      <c r="E130" s="1261">
        <f t="shared" ref="E130:W130" si="217">+SUM(E131:E134)</f>
        <v>0</v>
      </c>
      <c r="F130" s="1262">
        <f t="shared" ref="F130" si="218">+SUM(F131:F134)</f>
        <v>0</v>
      </c>
      <c r="G130" s="1263">
        <f t="shared" si="217"/>
        <v>0</v>
      </c>
      <c r="H130" s="1264">
        <f t="shared" ref="H130" si="219">+SUM(H131:H134)</f>
        <v>0</v>
      </c>
      <c r="I130" s="1261">
        <f t="shared" si="217"/>
        <v>0</v>
      </c>
      <c r="J130" s="1262">
        <f t="shared" ref="J130" si="220">+SUM(J131:J134)</f>
        <v>0</v>
      </c>
      <c r="K130" s="1263">
        <f t="shared" si="217"/>
        <v>0</v>
      </c>
      <c r="L130" s="1262">
        <f t="shared" ref="L130" si="221">+SUM(L131:L134)</f>
        <v>0</v>
      </c>
      <c r="M130" s="1263" t="str">
        <f>IFERROR(AVERAGE(M131:M134),"")</f>
        <v/>
      </c>
      <c r="N130" s="1265">
        <f>+SUM(N131:N134)</f>
        <v>0</v>
      </c>
      <c r="O130" s="1309" t="e">
        <f>(I131*O131+I132*O132+I133*O133+I134*O134)/I130</f>
        <v>#DIV/0!</v>
      </c>
      <c r="P130" s="1261">
        <f t="shared" si="217"/>
        <v>0</v>
      </c>
      <c r="Q130" s="1262">
        <f t="shared" ref="Q130" si="222">+SUM(Q131:Q134)</f>
        <v>0</v>
      </c>
      <c r="R130" s="1263">
        <f t="shared" si="217"/>
        <v>0</v>
      </c>
      <c r="S130" s="1264">
        <f t="shared" ref="S130" si="223">+SUM(S131:S134)</f>
        <v>0</v>
      </c>
      <c r="T130" s="1261">
        <f t="shared" si="217"/>
        <v>0</v>
      </c>
      <c r="U130" s="1262">
        <f t="shared" ref="U130" si="224">+SUM(U131:U134)</f>
        <v>0</v>
      </c>
      <c r="V130" s="1263">
        <f t="shared" si="217"/>
        <v>0</v>
      </c>
      <c r="W130" s="1262">
        <f t="shared" si="217"/>
        <v>0</v>
      </c>
      <c r="X130" s="1447"/>
      <c r="Y130" s="1261">
        <f t="shared" si="128"/>
        <v>0</v>
      </c>
      <c r="Z130" s="1268">
        <f t="shared" si="127"/>
        <v>0</v>
      </c>
      <c r="AA130" s="1263">
        <f t="shared" si="159"/>
        <v>0</v>
      </c>
      <c r="AB130" s="1268">
        <f t="shared" si="160"/>
        <v>0</v>
      </c>
      <c r="AC130" s="1212" t="str">
        <f>IFERROR(AVERAGE(AC131:AC134),"")</f>
        <v/>
      </c>
      <c r="AD130" s="1320">
        <f t="shared" ref="AD130" si="225">+SUM(AD131:AD134)</f>
        <v>0</v>
      </c>
      <c r="AE130" s="1309" t="e">
        <f>(Y131*AE131+Y132*AE132+Y133*AE133+Y134*AE134)/Y130</f>
        <v>#DIV/0!</v>
      </c>
      <c r="AF130" s="1271">
        <f>+MAX(AF131:AF134)</f>
        <v>0</v>
      </c>
      <c r="AG130" s="1272">
        <f t="array" ref="AG130">+MIN(IF(AG131:AG134&gt;0,AG131:AG134))</f>
        <v>0</v>
      </c>
      <c r="AH130" s="1163" t="str">
        <f>IF(SUM(Y131:Y134)&gt;0,IF(SUM(Z131:Z134)=0,"Зээлдэгчийн тоог бүрэн шивнэ үү.",""),"")</f>
        <v/>
      </c>
    </row>
    <row r="131" spans="1:34">
      <c r="A131" s="1441"/>
      <c r="B131" s="1273">
        <v>1</v>
      </c>
      <c r="C131" s="774" t="s">
        <v>163</v>
      </c>
      <c r="D131" s="1130">
        <v>119</v>
      </c>
      <c r="E131" s="1217"/>
      <c r="F131" s="1218"/>
      <c r="G131" s="1219"/>
      <c r="H131" s="1220"/>
      <c r="I131" s="1274"/>
      <c r="J131" s="1218"/>
      <c r="K131" s="1219"/>
      <c r="L131" s="1218"/>
      <c r="M131" s="1275"/>
      <c r="N131" s="1276">
        <f t="shared" si="161"/>
        <v>0</v>
      </c>
      <c r="O131" s="1277"/>
      <c r="P131" s="1278"/>
      <c r="Q131" s="1218"/>
      <c r="R131" s="1219"/>
      <c r="S131" s="1220"/>
      <c r="T131" s="1274"/>
      <c r="U131" s="1218"/>
      <c r="V131" s="1219"/>
      <c r="W131" s="1218"/>
      <c r="X131" s="1447"/>
      <c r="Y131" s="1279">
        <f t="shared" si="128"/>
        <v>0</v>
      </c>
      <c r="Z131" s="1280">
        <f t="shared" si="127"/>
        <v>0</v>
      </c>
      <c r="AA131" s="1281">
        <f t="shared" si="159"/>
        <v>0</v>
      </c>
      <c r="AB131" s="1280">
        <f t="shared" si="160"/>
        <v>0</v>
      </c>
      <c r="AC131" s="1282"/>
      <c r="AD131" s="1283">
        <f t="shared" si="162"/>
        <v>0</v>
      </c>
      <c r="AE131" s="1284"/>
      <c r="AF131" s="1284"/>
      <c r="AG131" s="1285"/>
      <c r="AH131" s="1163" t="str">
        <f>IF(I131&gt;0,IF(AND(O131&gt;0,O131&lt;0.15,AE131&gt;0,AE131&lt;0.15,AF131&gt;0,AF131&lt;0.15,AG131&gt;0,AG131&lt;0.15),"","ЗЖДХ болон дээд хүүг сараар шивнэ үү."),"")</f>
        <v/>
      </c>
    </row>
    <row r="132" spans="1:34">
      <c r="A132" s="1441"/>
      <c r="B132" s="1166">
        <v>2</v>
      </c>
      <c r="C132" s="1144" t="s">
        <v>574</v>
      </c>
      <c r="D132" s="1130">
        <v>120</v>
      </c>
      <c r="E132" s="1168"/>
      <c r="F132" s="1177"/>
      <c r="G132" s="1170"/>
      <c r="H132" s="1172"/>
      <c r="I132" s="1286"/>
      <c r="J132" s="1177"/>
      <c r="K132" s="1170"/>
      <c r="L132" s="1177"/>
      <c r="M132" s="1287"/>
      <c r="N132" s="1288">
        <f t="shared" si="161"/>
        <v>0</v>
      </c>
      <c r="O132" s="1289"/>
      <c r="P132" s="1290"/>
      <c r="Q132" s="1177"/>
      <c r="R132" s="1170"/>
      <c r="S132" s="1172"/>
      <c r="T132" s="1286"/>
      <c r="U132" s="1177"/>
      <c r="V132" s="1170"/>
      <c r="W132" s="1177"/>
      <c r="X132" s="1447"/>
      <c r="Y132" s="1291">
        <f t="shared" si="128"/>
        <v>0</v>
      </c>
      <c r="Z132" s="1175">
        <f t="shared" si="127"/>
        <v>0</v>
      </c>
      <c r="AA132" s="1176">
        <f t="shared" si="159"/>
        <v>0</v>
      </c>
      <c r="AB132" s="1175">
        <f t="shared" si="160"/>
        <v>0</v>
      </c>
      <c r="AC132" s="1292"/>
      <c r="AD132" s="1293">
        <f t="shared" si="162"/>
        <v>0</v>
      </c>
      <c r="AE132" s="1294"/>
      <c r="AF132" s="1294"/>
      <c r="AG132" s="1295"/>
      <c r="AH132" s="1163" t="str">
        <f>IF(I132&gt;0,IF(AND(O132&gt;0,O132&lt;0.15,AE132&gt;0,AE132&lt;0.15,AF132&gt;0,AF132&lt;0.15,AG132&gt;0,AG132&lt;0.15),"","ЗЖДХ болон дээд хүүг сараар шивнэ үү."),"")</f>
        <v/>
      </c>
    </row>
    <row r="133" spans="1:34">
      <c r="A133" s="1441"/>
      <c r="B133" s="1166">
        <v>3</v>
      </c>
      <c r="C133" s="1144" t="s">
        <v>575</v>
      </c>
      <c r="D133" s="1130">
        <v>121</v>
      </c>
      <c r="E133" s="1168"/>
      <c r="F133" s="1177"/>
      <c r="G133" s="1170"/>
      <c r="H133" s="1172"/>
      <c r="I133" s="1286"/>
      <c r="J133" s="1177"/>
      <c r="K133" s="1170"/>
      <c r="L133" s="1177"/>
      <c r="M133" s="1287"/>
      <c r="N133" s="1288">
        <f t="shared" si="161"/>
        <v>0</v>
      </c>
      <c r="O133" s="1289"/>
      <c r="P133" s="1290"/>
      <c r="Q133" s="1177"/>
      <c r="R133" s="1170"/>
      <c r="S133" s="1172"/>
      <c r="T133" s="1286"/>
      <c r="U133" s="1177"/>
      <c r="V133" s="1170"/>
      <c r="W133" s="1177"/>
      <c r="X133" s="1447"/>
      <c r="Y133" s="1291">
        <f t="shared" si="128"/>
        <v>0</v>
      </c>
      <c r="Z133" s="1175">
        <f t="shared" si="127"/>
        <v>0</v>
      </c>
      <c r="AA133" s="1176">
        <f t="shared" si="159"/>
        <v>0</v>
      </c>
      <c r="AB133" s="1175">
        <f t="shared" si="160"/>
        <v>0</v>
      </c>
      <c r="AC133" s="1292"/>
      <c r="AD133" s="1293">
        <f t="shared" si="162"/>
        <v>0</v>
      </c>
      <c r="AE133" s="1294"/>
      <c r="AF133" s="1294"/>
      <c r="AG133" s="1295"/>
      <c r="AH133" s="1163" t="str">
        <f>IF(I133&gt;0,IF(AND(O133&gt;0,O133&lt;0.15,AE133&gt;0,AE133&lt;0.15,AF133&gt;0,AF133&lt;0.15,AG133&gt;0,AG133&lt;0.15),"","ЗЖДХ болон дээд хүүг сараар шивнэ үү."),"")</f>
        <v/>
      </c>
    </row>
    <row r="134" spans="1:34">
      <c r="A134" s="1441"/>
      <c r="B134" s="1310">
        <v>4</v>
      </c>
      <c r="C134" s="1244" t="s">
        <v>576</v>
      </c>
      <c r="D134" s="1130">
        <v>122</v>
      </c>
      <c r="E134" s="1245"/>
      <c r="F134" s="1246"/>
      <c r="G134" s="1173"/>
      <c r="H134" s="1247"/>
      <c r="I134" s="1297"/>
      <c r="J134" s="1246"/>
      <c r="K134" s="1173"/>
      <c r="L134" s="1246"/>
      <c r="M134" s="1298"/>
      <c r="N134" s="1299">
        <f t="shared" si="161"/>
        <v>0</v>
      </c>
      <c r="O134" s="1319"/>
      <c r="P134" s="1301"/>
      <c r="Q134" s="1246"/>
      <c r="R134" s="1173"/>
      <c r="S134" s="1247"/>
      <c r="T134" s="1297"/>
      <c r="U134" s="1246"/>
      <c r="V134" s="1173"/>
      <c r="W134" s="1246"/>
      <c r="X134" s="1447"/>
      <c r="Y134" s="1312">
        <f t="shared" si="128"/>
        <v>0</v>
      </c>
      <c r="Z134" s="1187">
        <f t="shared" si="127"/>
        <v>0</v>
      </c>
      <c r="AA134" s="1313">
        <f t="shared" si="159"/>
        <v>0</v>
      </c>
      <c r="AB134" s="1187">
        <f t="shared" si="160"/>
        <v>0</v>
      </c>
      <c r="AC134" s="1314"/>
      <c r="AD134" s="1315">
        <f t="shared" si="162"/>
        <v>0</v>
      </c>
      <c r="AE134" s="1316"/>
      <c r="AF134" s="1316"/>
      <c r="AG134" s="1317"/>
      <c r="AH134" s="1163" t="str">
        <f>IF(I134&gt;0,IF(AND(O134&gt;0,O134&lt;0.15,AE134&gt;0,AE134&lt;0.15,AF134&gt;0,AF134&lt;0.15,AG134&gt;0,AG134&lt;0.15),"","ЗЖДХ болон дээд хүүг сараар шивнэ үү."),"")</f>
        <v/>
      </c>
    </row>
    <row r="135" spans="1:34" ht="25.5">
      <c r="A135" s="1440" t="s">
        <v>635</v>
      </c>
      <c r="B135" s="1311">
        <v>38</v>
      </c>
      <c r="C135" s="777" t="s">
        <v>636</v>
      </c>
      <c r="D135" s="1130">
        <v>123</v>
      </c>
      <c r="E135" s="1261">
        <f t="shared" ref="E135:W135" si="226">+SUM(E136:E139)</f>
        <v>0</v>
      </c>
      <c r="F135" s="1262">
        <f t="shared" ref="F135" si="227">+SUM(F136:F139)</f>
        <v>0</v>
      </c>
      <c r="G135" s="1263">
        <f t="shared" si="226"/>
        <v>0</v>
      </c>
      <c r="H135" s="1264">
        <f t="shared" ref="H135" si="228">+SUM(H136:H139)</f>
        <v>0</v>
      </c>
      <c r="I135" s="1261">
        <f t="shared" si="226"/>
        <v>0</v>
      </c>
      <c r="J135" s="1262">
        <f t="shared" ref="J135" si="229">+SUM(J136:J139)</f>
        <v>0</v>
      </c>
      <c r="K135" s="1263">
        <f t="shared" si="226"/>
        <v>0</v>
      </c>
      <c r="L135" s="1262">
        <f t="shared" ref="L135" si="230">+SUM(L136:L139)</f>
        <v>0</v>
      </c>
      <c r="M135" s="1263" t="str">
        <f>IFERROR(AVERAGE(M136:M139),"")</f>
        <v/>
      </c>
      <c r="N135" s="1206">
        <f>+SUM(N136:N139)</f>
        <v>0</v>
      </c>
      <c r="O135" s="1270" t="e">
        <f>(I136*O136+I137*O137+I138*O138+I139*O139)/I135</f>
        <v>#DIV/0!</v>
      </c>
      <c r="P135" s="1261">
        <f t="shared" si="226"/>
        <v>0</v>
      </c>
      <c r="Q135" s="1262">
        <f t="shared" ref="Q135" si="231">+SUM(Q136:Q139)</f>
        <v>0</v>
      </c>
      <c r="R135" s="1263">
        <f t="shared" si="226"/>
        <v>0</v>
      </c>
      <c r="S135" s="1264">
        <f t="shared" ref="S135" si="232">+SUM(S136:S139)</f>
        <v>0</v>
      </c>
      <c r="T135" s="1261">
        <f t="shared" si="226"/>
        <v>0</v>
      </c>
      <c r="U135" s="1262">
        <f t="shared" ref="U135" si="233">+SUM(U136:U139)</f>
        <v>0</v>
      </c>
      <c r="V135" s="1263">
        <f t="shared" si="226"/>
        <v>0</v>
      </c>
      <c r="W135" s="1262">
        <f t="shared" si="226"/>
        <v>0</v>
      </c>
      <c r="X135" s="1447"/>
      <c r="Y135" s="1261">
        <f t="shared" si="128"/>
        <v>0</v>
      </c>
      <c r="Z135" s="1268">
        <f t="shared" si="127"/>
        <v>0</v>
      </c>
      <c r="AA135" s="1263">
        <f t="shared" si="159"/>
        <v>0</v>
      </c>
      <c r="AB135" s="1268">
        <f t="shared" si="160"/>
        <v>0</v>
      </c>
      <c r="AC135" s="1212" t="str">
        <f>IFERROR(AVERAGE(AC136:AC139),"")</f>
        <v/>
      </c>
      <c r="AD135" s="1320">
        <f t="shared" ref="AD135" si="234">+SUM(AD136:AD139)</f>
        <v>0</v>
      </c>
      <c r="AE135" s="1309" t="e">
        <f>(Y136*AE136+Y137*AE137+Y138*AE138+Y139*AE139)/Y135</f>
        <v>#DIV/0!</v>
      </c>
      <c r="AF135" s="1271">
        <f>+MAX(AF136:AF139)</f>
        <v>0</v>
      </c>
      <c r="AG135" s="1272">
        <f t="array" ref="AG135">+MIN(IF(AG136:AG139&gt;0,AG136:AG139))</f>
        <v>0</v>
      </c>
      <c r="AH135" s="1163" t="str">
        <f>IF(SUM(Y136:Y139)&gt;0,IF(SUM(Z136:Z139)=0,"Зээлдэгчийн тоог бүрэн шивнэ үү.",""),"")</f>
        <v/>
      </c>
    </row>
    <row r="136" spans="1:34">
      <c r="A136" s="1441"/>
      <c r="B136" s="1273">
        <v>1</v>
      </c>
      <c r="C136" s="774" t="s">
        <v>163</v>
      </c>
      <c r="D136" s="1130">
        <v>124</v>
      </c>
      <c r="E136" s="1217"/>
      <c r="F136" s="1218"/>
      <c r="G136" s="1219"/>
      <c r="H136" s="1220"/>
      <c r="I136" s="1274"/>
      <c r="J136" s="1218"/>
      <c r="K136" s="1219"/>
      <c r="L136" s="1218"/>
      <c r="M136" s="1275"/>
      <c r="N136" s="1276">
        <f t="shared" si="161"/>
        <v>0</v>
      </c>
      <c r="O136" s="1277"/>
      <c r="P136" s="1278"/>
      <c r="Q136" s="1218"/>
      <c r="R136" s="1219"/>
      <c r="S136" s="1220"/>
      <c r="T136" s="1274"/>
      <c r="U136" s="1218"/>
      <c r="V136" s="1219"/>
      <c r="W136" s="1218"/>
      <c r="X136" s="1447"/>
      <c r="Y136" s="1279">
        <f t="shared" si="128"/>
        <v>0</v>
      </c>
      <c r="Z136" s="1280">
        <f t="shared" si="127"/>
        <v>0</v>
      </c>
      <c r="AA136" s="1281">
        <f t="shared" si="159"/>
        <v>0</v>
      </c>
      <c r="AB136" s="1280">
        <f t="shared" si="160"/>
        <v>0</v>
      </c>
      <c r="AC136" s="1282"/>
      <c r="AD136" s="1283">
        <f t="shared" si="162"/>
        <v>0</v>
      </c>
      <c r="AE136" s="1284"/>
      <c r="AF136" s="1284"/>
      <c r="AG136" s="1285"/>
      <c r="AH136" s="1163" t="str">
        <f>IF(I136&gt;0,IF(AND(O136&gt;0,O136&lt;0.15,AE136&gt;0,AE136&lt;0.15,AF136&gt;0,AF136&lt;0.15,AG136&gt;0,AG136&lt;0.15),"","ЗЖДХ болон дээд хүүг сараар шивнэ үү."),"")</f>
        <v/>
      </c>
    </row>
    <row r="137" spans="1:34">
      <c r="A137" s="1441"/>
      <c r="B137" s="1166">
        <v>2</v>
      </c>
      <c r="C137" s="1144" t="s">
        <v>574</v>
      </c>
      <c r="D137" s="1130">
        <v>125</v>
      </c>
      <c r="E137" s="1168"/>
      <c r="F137" s="1177"/>
      <c r="G137" s="1170"/>
      <c r="H137" s="1172"/>
      <c r="I137" s="1286"/>
      <c r="J137" s="1177"/>
      <c r="K137" s="1170"/>
      <c r="L137" s="1177"/>
      <c r="M137" s="1287"/>
      <c r="N137" s="1288">
        <f t="shared" si="161"/>
        <v>0</v>
      </c>
      <c r="O137" s="1289"/>
      <c r="P137" s="1290"/>
      <c r="Q137" s="1177"/>
      <c r="R137" s="1170"/>
      <c r="S137" s="1172"/>
      <c r="T137" s="1286"/>
      <c r="U137" s="1177"/>
      <c r="V137" s="1170"/>
      <c r="W137" s="1177"/>
      <c r="X137" s="1447"/>
      <c r="Y137" s="1291">
        <f t="shared" si="128"/>
        <v>0</v>
      </c>
      <c r="Z137" s="1175">
        <f t="shared" si="127"/>
        <v>0</v>
      </c>
      <c r="AA137" s="1176">
        <f t="shared" si="159"/>
        <v>0</v>
      </c>
      <c r="AB137" s="1175">
        <f t="shared" si="160"/>
        <v>0</v>
      </c>
      <c r="AC137" s="1292"/>
      <c r="AD137" s="1293">
        <f t="shared" si="162"/>
        <v>0</v>
      </c>
      <c r="AE137" s="1294"/>
      <c r="AF137" s="1294"/>
      <c r="AG137" s="1295"/>
      <c r="AH137" s="1163" t="str">
        <f>IF(I137&gt;0,IF(AND(O137&gt;0,O137&lt;0.15,AE137&gt;0,AE137&lt;0.15,AF137&gt;0,AF137&lt;0.15,AG137&gt;0,AG137&lt;0.15),"","ЗЖДХ болон дээд хүүг сараар шивнэ үү."),"")</f>
        <v/>
      </c>
    </row>
    <row r="138" spans="1:34">
      <c r="A138" s="1441"/>
      <c r="B138" s="1166">
        <v>3</v>
      </c>
      <c r="C138" s="1144" t="s">
        <v>575</v>
      </c>
      <c r="D138" s="1130">
        <v>126</v>
      </c>
      <c r="E138" s="1168"/>
      <c r="F138" s="1177"/>
      <c r="G138" s="1170"/>
      <c r="H138" s="1172"/>
      <c r="I138" s="1286"/>
      <c r="J138" s="1177"/>
      <c r="K138" s="1170"/>
      <c r="L138" s="1177"/>
      <c r="M138" s="1287"/>
      <c r="N138" s="1288">
        <f t="shared" si="161"/>
        <v>0</v>
      </c>
      <c r="O138" s="1289"/>
      <c r="P138" s="1290"/>
      <c r="Q138" s="1177"/>
      <c r="R138" s="1170"/>
      <c r="S138" s="1172"/>
      <c r="T138" s="1286"/>
      <c r="U138" s="1177"/>
      <c r="V138" s="1170"/>
      <c r="W138" s="1177"/>
      <c r="X138" s="1447"/>
      <c r="Y138" s="1291">
        <f t="shared" si="128"/>
        <v>0</v>
      </c>
      <c r="Z138" s="1175">
        <f t="shared" si="127"/>
        <v>0</v>
      </c>
      <c r="AA138" s="1176">
        <f t="shared" si="159"/>
        <v>0</v>
      </c>
      <c r="AB138" s="1175">
        <f t="shared" si="160"/>
        <v>0</v>
      </c>
      <c r="AC138" s="1292"/>
      <c r="AD138" s="1293">
        <f t="shared" si="162"/>
        <v>0</v>
      </c>
      <c r="AE138" s="1294"/>
      <c r="AF138" s="1294"/>
      <c r="AG138" s="1295"/>
      <c r="AH138" s="1163" t="str">
        <f>IF(I138&gt;0,IF(AND(O138&gt;0,O138&lt;0.15,AE138&gt;0,AE138&lt;0.15,AF138&gt;0,AF138&lt;0.15,AG138&gt;0,AG138&lt;0.15),"","ЗЖДХ болон дээд хүүг сараар шивнэ үү."),"")</f>
        <v/>
      </c>
    </row>
    <row r="139" spans="1:34">
      <c r="A139" s="1441"/>
      <c r="B139" s="1310">
        <v>4</v>
      </c>
      <c r="C139" s="1244" t="s">
        <v>576</v>
      </c>
      <c r="D139" s="1130">
        <v>127</v>
      </c>
      <c r="E139" s="1180"/>
      <c r="F139" s="1325"/>
      <c r="G139" s="1182"/>
      <c r="H139" s="1184"/>
      <c r="I139" s="1326"/>
      <c r="J139" s="1325"/>
      <c r="K139" s="1182"/>
      <c r="L139" s="1325"/>
      <c r="M139" s="1327"/>
      <c r="N139" s="1328">
        <f t="shared" si="161"/>
        <v>0</v>
      </c>
      <c r="O139" s="1319"/>
      <c r="P139" s="1329"/>
      <c r="Q139" s="1325"/>
      <c r="R139" s="1182"/>
      <c r="S139" s="1184"/>
      <c r="T139" s="1326"/>
      <c r="U139" s="1325"/>
      <c r="V139" s="1182"/>
      <c r="W139" s="1325"/>
      <c r="X139" s="1447"/>
      <c r="Y139" s="1312">
        <f t="shared" si="128"/>
        <v>0</v>
      </c>
      <c r="Z139" s="1187">
        <f t="shared" si="127"/>
        <v>0</v>
      </c>
      <c r="AA139" s="1313">
        <f t="shared" si="159"/>
        <v>0</v>
      </c>
      <c r="AB139" s="1187">
        <f t="shared" si="160"/>
        <v>0</v>
      </c>
      <c r="AC139" s="1314"/>
      <c r="AD139" s="1315">
        <f t="shared" si="162"/>
        <v>0</v>
      </c>
      <c r="AE139" s="1316"/>
      <c r="AF139" s="1316"/>
      <c r="AG139" s="1317"/>
      <c r="AH139" s="1163" t="str">
        <f>IF(I139&gt;0,IF(AND(O139&gt;0,O139&lt;0.15,AE139&gt;0,AE139&lt;0.15,AF139&gt;0,AF139&lt;0.15,AG139&gt;0,AG139&lt;0.15),"","ЗЖДХ болон дээд хүүг сараар шивнэ үү."),"")</f>
        <v/>
      </c>
    </row>
    <row r="140" spans="1:34">
      <c r="A140" s="1440" t="s">
        <v>103</v>
      </c>
      <c r="B140" s="1311">
        <v>39</v>
      </c>
      <c r="C140" s="777" t="s">
        <v>637</v>
      </c>
      <c r="D140" s="1130">
        <v>128</v>
      </c>
      <c r="E140" s="1261">
        <f>+SUM(E141:E149)</f>
        <v>0</v>
      </c>
      <c r="F140" s="1262">
        <f t="shared" ref="F140" si="235">+SUM(F141:F149)</f>
        <v>0</v>
      </c>
      <c r="G140" s="1263">
        <f t="shared" ref="G140:W140" si="236">+SUM(G141:G149)</f>
        <v>0</v>
      </c>
      <c r="H140" s="1264">
        <f t="shared" ref="H140" si="237">+SUM(H141:H149)</f>
        <v>0</v>
      </c>
      <c r="I140" s="1261">
        <f t="shared" si="236"/>
        <v>0</v>
      </c>
      <c r="J140" s="1262">
        <f t="shared" ref="J140" si="238">+SUM(J141:J149)</f>
        <v>0</v>
      </c>
      <c r="K140" s="1263">
        <f t="shared" si="236"/>
        <v>0</v>
      </c>
      <c r="L140" s="1262">
        <f t="shared" ref="L140" si="239">+SUM(L141:L149)</f>
        <v>0</v>
      </c>
      <c r="M140" s="1263" t="str">
        <f>IFERROR(AVERAGE(M141:M149),"")</f>
        <v/>
      </c>
      <c r="N140" s="1206">
        <f>+SUM(N141:N149)</f>
        <v>0</v>
      </c>
      <c r="O140" s="1270" t="e">
        <f>(I141*O141+I142*O142+I143*O143+I144*O144+I145*O145+I146*O146+I147*O147+I148*O148+I149*O149)/I140</f>
        <v>#DIV/0!</v>
      </c>
      <c r="P140" s="1261">
        <f t="shared" si="236"/>
        <v>0</v>
      </c>
      <c r="Q140" s="1262">
        <f t="shared" ref="Q140" si="240">+SUM(Q141:Q149)</f>
        <v>0</v>
      </c>
      <c r="R140" s="1263">
        <f t="shared" si="236"/>
        <v>0</v>
      </c>
      <c r="S140" s="1264">
        <f t="shared" ref="S140" si="241">+SUM(S141:S149)</f>
        <v>0</v>
      </c>
      <c r="T140" s="1261">
        <f t="shared" si="236"/>
        <v>0</v>
      </c>
      <c r="U140" s="1262">
        <f t="shared" ref="U140" si="242">+SUM(U141:U149)</f>
        <v>0</v>
      </c>
      <c r="V140" s="1263">
        <f t="shared" si="236"/>
        <v>0</v>
      </c>
      <c r="W140" s="1262">
        <f t="shared" si="236"/>
        <v>0</v>
      </c>
      <c r="X140" s="1447"/>
      <c r="Y140" s="1261">
        <f t="shared" si="128"/>
        <v>0</v>
      </c>
      <c r="Z140" s="1268">
        <f t="shared" si="127"/>
        <v>0</v>
      </c>
      <c r="AA140" s="1263">
        <f t="shared" si="159"/>
        <v>0</v>
      </c>
      <c r="AB140" s="1268">
        <f t="shared" si="160"/>
        <v>0</v>
      </c>
      <c r="AC140" s="1212" t="str">
        <f>IFERROR(AVERAGE(AC141:AC149),"")</f>
        <v/>
      </c>
      <c r="AD140" s="1320">
        <f>+SUM(AD141:AD149)</f>
        <v>0</v>
      </c>
      <c r="AE140" s="1309" t="e">
        <f>(Y141*AE141+Y142*AE142+Y143*AE143+Y144*AE144+Y145*AE145+Y146*AE146+Y147*AE147+Y148*AE148+Y149*AE149)/Y140</f>
        <v>#DIV/0!</v>
      </c>
      <c r="AF140" s="1271">
        <f>+MAX(AF141:AF149)</f>
        <v>0</v>
      </c>
      <c r="AG140" s="1272">
        <f t="array" ref="AG140">+MIN(IF(AG141:AG149&gt;0,AG141:AG149))</f>
        <v>0</v>
      </c>
      <c r="AH140" s="1163" t="str">
        <f>IF(SUM(Y141:Y149)&gt;0,IF(SUM(Z141:Z149)=0,"Зээлдэгчийн тоог бүрэн шивнэ үү.",""),"")</f>
        <v/>
      </c>
    </row>
    <row r="141" spans="1:34">
      <c r="A141" s="1441"/>
      <c r="B141" s="1330">
        <v>1</v>
      </c>
      <c r="C141" s="778" t="s">
        <v>638</v>
      </c>
      <c r="D141" s="1130">
        <v>129</v>
      </c>
      <c r="E141" s="1217"/>
      <c r="F141" s="1218"/>
      <c r="G141" s="1219"/>
      <c r="H141" s="1220"/>
      <c r="I141" s="1274"/>
      <c r="J141" s="1218"/>
      <c r="K141" s="1219"/>
      <c r="L141" s="1218"/>
      <c r="M141" s="1331"/>
      <c r="N141" s="1332">
        <f>+I141*O141</f>
        <v>0</v>
      </c>
      <c r="O141" s="1333"/>
      <c r="P141" s="1278"/>
      <c r="Q141" s="1218"/>
      <c r="R141" s="1219"/>
      <c r="S141" s="1220"/>
      <c r="T141" s="1274"/>
      <c r="U141" s="1218"/>
      <c r="V141" s="1219"/>
      <c r="W141" s="1218"/>
      <c r="X141" s="1447"/>
      <c r="Y141" s="1279">
        <f t="shared" si="128"/>
        <v>0</v>
      </c>
      <c r="Z141" s="1280">
        <f t="shared" si="127"/>
        <v>0</v>
      </c>
      <c r="AA141" s="1281">
        <f t="shared" si="159"/>
        <v>0</v>
      </c>
      <c r="AB141" s="1280">
        <f t="shared" si="160"/>
        <v>0</v>
      </c>
      <c r="AC141" s="1282"/>
      <c r="AD141" s="1283">
        <f>+Y141*AE141</f>
        <v>0</v>
      </c>
      <c r="AE141" s="1284"/>
      <c r="AF141" s="1284"/>
      <c r="AG141" s="1285"/>
      <c r="AH141" s="1163" t="str">
        <f t="shared" ref="AH141:AH149" si="243">IF(I141&gt;0,IF(AND(O141&gt;0,O141&lt;0.15,AE141&gt;0,AE141&lt;0.15,AF141&gt;0,AF141&lt;0.15,AG141&gt;0,AG141&lt;0.15),"","ЗЖДХ болон дээд хүүг сараар шивнэ үү."),"")</f>
        <v/>
      </c>
    </row>
    <row r="142" spans="1:34">
      <c r="A142" s="1441"/>
      <c r="B142" s="1334">
        <v>2</v>
      </c>
      <c r="C142" s="779" t="s">
        <v>639</v>
      </c>
      <c r="D142" s="1130">
        <v>130</v>
      </c>
      <c r="E142" s="1168"/>
      <c r="F142" s="1177"/>
      <c r="G142" s="1170"/>
      <c r="H142" s="1172"/>
      <c r="I142" s="1286"/>
      <c r="J142" s="1177"/>
      <c r="K142" s="1170"/>
      <c r="L142" s="1177"/>
      <c r="M142" s="1287"/>
      <c r="N142" s="1288">
        <f t="shared" si="161"/>
        <v>0</v>
      </c>
      <c r="O142" s="1289"/>
      <c r="P142" s="1290"/>
      <c r="Q142" s="1177"/>
      <c r="R142" s="1170"/>
      <c r="S142" s="1172"/>
      <c r="T142" s="1286"/>
      <c r="U142" s="1177"/>
      <c r="V142" s="1170"/>
      <c r="W142" s="1177"/>
      <c r="X142" s="1447"/>
      <c r="Y142" s="1291">
        <f t="shared" si="128"/>
        <v>0</v>
      </c>
      <c r="Z142" s="1175">
        <f t="shared" si="127"/>
        <v>0</v>
      </c>
      <c r="AA142" s="1176">
        <f t="shared" si="159"/>
        <v>0</v>
      </c>
      <c r="AB142" s="1175">
        <f t="shared" si="160"/>
        <v>0</v>
      </c>
      <c r="AC142" s="1292"/>
      <c r="AD142" s="1293">
        <f t="shared" si="162"/>
        <v>0</v>
      </c>
      <c r="AE142" s="1294"/>
      <c r="AF142" s="1294"/>
      <c r="AG142" s="1295"/>
      <c r="AH142" s="1163" t="str">
        <f t="shared" si="243"/>
        <v/>
      </c>
    </row>
    <row r="143" spans="1:34">
      <c r="A143" s="1441"/>
      <c r="B143" s="1334">
        <v>3</v>
      </c>
      <c r="C143" s="779" t="s">
        <v>640</v>
      </c>
      <c r="D143" s="1130">
        <v>131</v>
      </c>
      <c r="E143" s="1168"/>
      <c r="F143" s="1177"/>
      <c r="G143" s="1170"/>
      <c r="H143" s="1172"/>
      <c r="I143" s="1286"/>
      <c r="J143" s="1177"/>
      <c r="K143" s="1170"/>
      <c r="L143" s="1177"/>
      <c r="M143" s="1287"/>
      <c r="N143" s="1288">
        <f t="shared" si="161"/>
        <v>0</v>
      </c>
      <c r="O143" s="1289"/>
      <c r="P143" s="1290"/>
      <c r="Q143" s="1177"/>
      <c r="R143" s="1170"/>
      <c r="S143" s="1172"/>
      <c r="T143" s="1286"/>
      <c r="U143" s="1177"/>
      <c r="V143" s="1170"/>
      <c r="W143" s="1177"/>
      <c r="X143" s="1447"/>
      <c r="Y143" s="1291">
        <f t="shared" si="128"/>
        <v>0</v>
      </c>
      <c r="Z143" s="1175">
        <f t="shared" si="127"/>
        <v>0</v>
      </c>
      <c r="AA143" s="1176">
        <f>ROUND(SUM(G143,K143,-R143,-V143),2)</f>
        <v>0</v>
      </c>
      <c r="AB143" s="1175">
        <f t="shared" si="160"/>
        <v>0</v>
      </c>
      <c r="AC143" s="1292"/>
      <c r="AD143" s="1293">
        <f t="shared" si="162"/>
        <v>0</v>
      </c>
      <c r="AE143" s="1294"/>
      <c r="AF143" s="1294"/>
      <c r="AG143" s="1295"/>
      <c r="AH143" s="1163" t="str">
        <f t="shared" si="243"/>
        <v/>
      </c>
    </row>
    <row r="144" spans="1:34" s="1348" customFormat="1">
      <c r="A144" s="1441"/>
      <c r="B144" s="1334">
        <v>4</v>
      </c>
      <c r="C144" s="779" t="s">
        <v>641</v>
      </c>
      <c r="D144" s="1130">
        <v>132</v>
      </c>
      <c r="E144" s="1335"/>
      <c r="F144" s="1336"/>
      <c r="G144" s="1337"/>
      <c r="H144" s="1338"/>
      <c r="I144" s="1339"/>
      <c r="J144" s="1336"/>
      <c r="K144" s="1337"/>
      <c r="L144" s="1336"/>
      <c r="M144" s="1340"/>
      <c r="N144" s="1341">
        <f t="shared" si="161"/>
        <v>0</v>
      </c>
      <c r="O144" s="1342"/>
      <c r="P144" s="1343"/>
      <c r="Q144" s="1336"/>
      <c r="R144" s="1337"/>
      <c r="S144" s="1338"/>
      <c r="T144" s="1339"/>
      <c r="U144" s="1336"/>
      <c r="V144" s="1337"/>
      <c r="W144" s="1336"/>
      <c r="X144" s="1447"/>
      <c r="Y144" s="1344">
        <f t="shared" si="128"/>
        <v>0</v>
      </c>
      <c r="Z144" s="1345">
        <f t="shared" ref="Z144:Z149" si="244">+F144+J144-U144</f>
        <v>0</v>
      </c>
      <c r="AA144" s="1293">
        <f t="shared" si="159"/>
        <v>0</v>
      </c>
      <c r="AB144" s="1345">
        <f t="shared" si="160"/>
        <v>0</v>
      </c>
      <c r="AC144" s="1292"/>
      <c r="AD144" s="1293">
        <f t="shared" si="162"/>
        <v>0</v>
      </c>
      <c r="AE144" s="1346"/>
      <c r="AF144" s="1346"/>
      <c r="AG144" s="1347"/>
      <c r="AH144" s="1163" t="str">
        <f t="shared" si="243"/>
        <v/>
      </c>
    </row>
    <row r="145" spans="1:34">
      <c r="A145" s="1441"/>
      <c r="B145" s="1334">
        <v>5</v>
      </c>
      <c r="C145" s="779" t="s">
        <v>642</v>
      </c>
      <c r="D145" s="1130">
        <v>133</v>
      </c>
      <c r="E145" s="1168"/>
      <c r="F145" s="1177"/>
      <c r="G145" s="1170"/>
      <c r="H145" s="1172"/>
      <c r="I145" s="1286"/>
      <c r="J145" s="1177"/>
      <c r="K145" s="1170"/>
      <c r="L145" s="1177"/>
      <c r="M145" s="1287"/>
      <c r="N145" s="1288">
        <f t="shared" si="161"/>
        <v>0</v>
      </c>
      <c r="O145" s="1289"/>
      <c r="P145" s="1290"/>
      <c r="Q145" s="1177"/>
      <c r="R145" s="1170"/>
      <c r="S145" s="1172"/>
      <c r="T145" s="1286"/>
      <c r="U145" s="1177"/>
      <c r="V145" s="1170"/>
      <c r="W145" s="1177"/>
      <c r="X145" s="1447"/>
      <c r="Y145" s="1291">
        <f t="shared" si="128"/>
        <v>0</v>
      </c>
      <c r="Z145" s="1175">
        <f t="shared" si="244"/>
        <v>0</v>
      </c>
      <c r="AA145" s="1176">
        <f t="shared" si="159"/>
        <v>0</v>
      </c>
      <c r="AB145" s="1175">
        <f t="shared" si="160"/>
        <v>0</v>
      </c>
      <c r="AC145" s="1292"/>
      <c r="AD145" s="1293">
        <f t="shared" si="162"/>
        <v>0</v>
      </c>
      <c r="AE145" s="1294"/>
      <c r="AF145" s="1294"/>
      <c r="AG145" s="1295"/>
      <c r="AH145" s="1163" t="str">
        <f t="shared" si="243"/>
        <v/>
      </c>
    </row>
    <row r="146" spans="1:34">
      <c r="A146" s="1441"/>
      <c r="B146" s="1334">
        <v>6</v>
      </c>
      <c r="C146" s="779" t="s">
        <v>643</v>
      </c>
      <c r="D146" s="1130">
        <v>134</v>
      </c>
      <c r="E146" s="1168"/>
      <c r="F146" s="1177"/>
      <c r="G146" s="1170"/>
      <c r="H146" s="1172"/>
      <c r="I146" s="1286"/>
      <c r="J146" s="1177"/>
      <c r="K146" s="1170"/>
      <c r="L146" s="1177"/>
      <c r="M146" s="1287"/>
      <c r="N146" s="1288">
        <f t="shared" si="161"/>
        <v>0</v>
      </c>
      <c r="O146" s="1289"/>
      <c r="P146" s="1290"/>
      <c r="Q146" s="1177"/>
      <c r="R146" s="1170"/>
      <c r="S146" s="1172"/>
      <c r="T146" s="1286"/>
      <c r="U146" s="1177"/>
      <c r="V146" s="1170"/>
      <c r="W146" s="1177"/>
      <c r="X146" s="1447"/>
      <c r="Y146" s="1291">
        <f t="shared" ref="Y146:Y149" si="245">ROUND(SUM(E146,I146,-P146,-T146),2)</f>
        <v>0</v>
      </c>
      <c r="Z146" s="1175">
        <f t="shared" si="244"/>
        <v>0</v>
      </c>
      <c r="AA146" s="1176">
        <f t="shared" si="159"/>
        <v>0</v>
      </c>
      <c r="AB146" s="1175">
        <f t="shared" si="160"/>
        <v>0</v>
      </c>
      <c r="AC146" s="1292"/>
      <c r="AD146" s="1293">
        <f t="shared" si="162"/>
        <v>0</v>
      </c>
      <c r="AE146" s="1294"/>
      <c r="AF146" s="1294"/>
      <c r="AG146" s="1295"/>
      <c r="AH146" s="1163" t="str">
        <f t="shared" si="243"/>
        <v/>
      </c>
    </row>
    <row r="147" spans="1:34">
      <c r="A147" s="1441"/>
      <c r="B147" s="1334">
        <v>7</v>
      </c>
      <c r="C147" s="779" t="s">
        <v>644</v>
      </c>
      <c r="D147" s="1130">
        <v>135</v>
      </c>
      <c r="E147" s="1168"/>
      <c r="F147" s="1177"/>
      <c r="G147" s="1170"/>
      <c r="H147" s="1172"/>
      <c r="I147" s="1286"/>
      <c r="J147" s="1177"/>
      <c r="K147" s="1170"/>
      <c r="L147" s="1177"/>
      <c r="M147" s="1287"/>
      <c r="N147" s="1288">
        <f t="shared" si="161"/>
        <v>0</v>
      </c>
      <c r="O147" s="1289"/>
      <c r="P147" s="1290"/>
      <c r="Q147" s="1177"/>
      <c r="R147" s="1170"/>
      <c r="S147" s="1172"/>
      <c r="T147" s="1286"/>
      <c r="U147" s="1177"/>
      <c r="V147" s="1170"/>
      <c r="W147" s="1177"/>
      <c r="X147" s="1447"/>
      <c r="Y147" s="1291">
        <f t="shared" si="245"/>
        <v>0</v>
      </c>
      <c r="Z147" s="1175">
        <f t="shared" si="244"/>
        <v>0</v>
      </c>
      <c r="AA147" s="1176">
        <f t="shared" si="159"/>
        <v>0</v>
      </c>
      <c r="AB147" s="1175">
        <f t="shared" si="160"/>
        <v>0</v>
      </c>
      <c r="AC147" s="1292"/>
      <c r="AD147" s="1293">
        <f t="shared" si="162"/>
        <v>0</v>
      </c>
      <c r="AE147" s="1294"/>
      <c r="AF147" s="1294"/>
      <c r="AG147" s="1295"/>
      <c r="AH147" s="1163" t="str">
        <f t="shared" si="243"/>
        <v/>
      </c>
    </row>
    <row r="148" spans="1:34">
      <c r="A148" s="1441"/>
      <c r="B148" s="1334">
        <v>8</v>
      </c>
      <c r="C148" s="779" t="s">
        <v>645</v>
      </c>
      <c r="D148" s="1130">
        <v>136</v>
      </c>
      <c r="E148" s="1168"/>
      <c r="F148" s="1177"/>
      <c r="G148" s="1170"/>
      <c r="H148" s="1172"/>
      <c r="I148" s="1286"/>
      <c r="J148" s="1177"/>
      <c r="K148" s="1170"/>
      <c r="L148" s="1177"/>
      <c r="M148" s="1287"/>
      <c r="N148" s="1288">
        <f t="shared" si="161"/>
        <v>0</v>
      </c>
      <c r="O148" s="1289"/>
      <c r="P148" s="1290"/>
      <c r="Q148" s="1177"/>
      <c r="R148" s="1170"/>
      <c r="S148" s="1172"/>
      <c r="T148" s="1286"/>
      <c r="U148" s="1177"/>
      <c r="V148" s="1170"/>
      <c r="W148" s="1177"/>
      <c r="X148" s="1447"/>
      <c r="Y148" s="1291">
        <f t="shared" si="245"/>
        <v>0</v>
      </c>
      <c r="Z148" s="1175">
        <f t="shared" si="244"/>
        <v>0</v>
      </c>
      <c r="AA148" s="1176">
        <f t="shared" si="159"/>
        <v>0</v>
      </c>
      <c r="AB148" s="1175">
        <f t="shared" si="160"/>
        <v>0</v>
      </c>
      <c r="AC148" s="1292"/>
      <c r="AD148" s="1293">
        <f t="shared" si="162"/>
        <v>0</v>
      </c>
      <c r="AE148" s="1294"/>
      <c r="AF148" s="1294"/>
      <c r="AG148" s="1295"/>
      <c r="AH148" s="1163" t="str">
        <f t="shared" si="243"/>
        <v/>
      </c>
    </row>
    <row r="149" spans="1:34" s="1348" customFormat="1" ht="15.75" thickBot="1">
      <c r="A149" s="1445"/>
      <c r="B149" s="1349">
        <v>9</v>
      </c>
      <c r="C149" s="783" t="s">
        <v>646</v>
      </c>
      <c r="D149" s="1350">
        <v>137</v>
      </c>
      <c r="E149" s="1351"/>
      <c r="F149" s="1352"/>
      <c r="G149" s="1353"/>
      <c r="H149" s="1354"/>
      <c r="I149" s="1355"/>
      <c r="J149" s="1352"/>
      <c r="K149" s="1353"/>
      <c r="L149" s="1352"/>
      <c r="M149" s="1356"/>
      <c r="N149" s="1357">
        <f t="shared" si="161"/>
        <v>0</v>
      </c>
      <c r="O149" s="1358"/>
      <c r="P149" s="1359"/>
      <c r="Q149" s="1352"/>
      <c r="R149" s="1353"/>
      <c r="S149" s="1354"/>
      <c r="T149" s="1355"/>
      <c r="U149" s="1352"/>
      <c r="V149" s="1353"/>
      <c r="W149" s="1352"/>
      <c r="X149" s="1448"/>
      <c r="Y149" s="1360">
        <f t="shared" si="245"/>
        <v>0</v>
      </c>
      <c r="Z149" s="1361">
        <f t="shared" si="244"/>
        <v>0</v>
      </c>
      <c r="AA149" s="1362">
        <f t="shared" si="159"/>
        <v>0</v>
      </c>
      <c r="AB149" s="1361">
        <f t="shared" si="160"/>
        <v>0</v>
      </c>
      <c r="AC149" s="1363"/>
      <c r="AD149" s="1362">
        <f t="shared" si="162"/>
        <v>0</v>
      </c>
      <c r="AE149" s="1364"/>
      <c r="AF149" s="1364"/>
      <c r="AG149" s="1365"/>
      <c r="AH149" s="1163" t="str">
        <f t="shared" si="243"/>
        <v/>
      </c>
    </row>
    <row r="151" spans="1:34" ht="15" customHeight="1">
      <c r="A151" s="1434" t="s">
        <v>647</v>
      </c>
      <c r="B151" s="1434"/>
      <c r="C151" s="1434"/>
      <c r="D151" s="1434"/>
      <c r="E151" s="1434"/>
      <c r="F151" s="1434"/>
      <c r="G151" s="1434"/>
      <c r="H151" s="1434"/>
      <c r="I151" s="1434"/>
      <c r="J151" s="1434"/>
      <c r="K151" s="1434"/>
      <c r="L151" s="1434"/>
      <c r="M151" s="1434"/>
      <c r="N151" s="1434"/>
      <c r="O151" s="1434"/>
      <c r="R151" s="371"/>
      <c r="S151" s="371"/>
      <c r="V151" s="371"/>
      <c r="W151" s="371"/>
      <c r="AC151" s="371"/>
      <c r="AD151" s="371"/>
      <c r="AE151" s="371"/>
      <c r="AF151" s="371"/>
      <c r="AG151" s="371"/>
      <c r="AH151" s="371"/>
    </row>
    <row r="152" spans="1:34" ht="15" customHeight="1">
      <c r="A152" s="29" t="s">
        <v>648</v>
      </c>
      <c r="B152" s="29"/>
      <c r="C152" s="29"/>
      <c r="D152" s="29"/>
      <c r="E152" s="29"/>
      <c r="F152" s="29"/>
      <c r="G152" s="29"/>
      <c r="H152" s="29"/>
      <c r="I152" s="29"/>
      <c r="J152" s="29"/>
      <c r="K152" s="29"/>
      <c r="L152" s="29"/>
      <c r="M152" s="29"/>
      <c r="N152" s="29"/>
      <c r="O152" s="29"/>
      <c r="P152" s="29"/>
      <c r="Q152" s="29"/>
      <c r="R152" s="29"/>
      <c r="S152" s="29"/>
      <c r="T152" s="29"/>
      <c r="U152" s="29"/>
      <c r="V152" s="371"/>
      <c r="W152" s="371"/>
      <c r="AC152" s="371"/>
      <c r="AD152" s="371"/>
      <c r="AE152" s="371"/>
      <c r="AF152" s="371"/>
      <c r="AG152" s="371"/>
      <c r="AH152" s="371"/>
    </row>
    <row r="153" spans="1:34" ht="15" customHeight="1">
      <c r="A153" s="29" t="s">
        <v>649</v>
      </c>
      <c r="E153" s="371"/>
      <c r="G153" s="371"/>
      <c r="K153" s="371"/>
      <c r="O153" s="371"/>
      <c r="R153" s="371"/>
      <c r="S153" s="371"/>
      <c r="V153" s="371"/>
      <c r="W153" s="371"/>
      <c r="AC153" s="371"/>
      <c r="AD153" s="371"/>
      <c r="AE153" s="371"/>
      <c r="AF153" s="371"/>
      <c r="AG153" s="371"/>
      <c r="AH153" s="371"/>
    </row>
    <row r="154" spans="1:34" ht="12.75" customHeight="1">
      <c r="A154" s="29"/>
      <c r="B154" s="1366" t="s">
        <v>650</v>
      </c>
      <c r="C154" s="679"/>
      <c r="E154" s="371"/>
      <c r="G154" s="371"/>
      <c r="K154" s="371"/>
      <c r="O154" s="371"/>
      <c r="R154" s="371"/>
      <c r="S154" s="371"/>
      <c r="V154" s="371"/>
      <c r="W154" s="371"/>
      <c r="AC154" s="371"/>
      <c r="AD154" s="371"/>
      <c r="AE154" s="371"/>
      <c r="AF154" s="371"/>
      <c r="AG154" s="371"/>
      <c r="AH154" s="371"/>
    </row>
    <row r="155" spans="1:34" ht="357">
      <c r="A155" s="29" t="s">
        <v>651</v>
      </c>
      <c r="E155" s="371"/>
      <c r="G155" s="371"/>
      <c r="K155" s="371"/>
      <c r="O155" s="371"/>
      <c r="R155" s="371"/>
      <c r="S155" s="371"/>
      <c r="V155" s="371"/>
      <c r="W155" s="371"/>
      <c r="AC155" s="371"/>
      <c r="AD155" s="371"/>
      <c r="AE155" s="371"/>
      <c r="AF155" s="371"/>
      <c r="AG155" s="371"/>
      <c r="AH155" s="371"/>
    </row>
    <row r="156" spans="1:34" ht="369.75">
      <c r="A156" s="29" t="s">
        <v>652</v>
      </c>
      <c r="E156" s="371"/>
      <c r="G156" s="371"/>
      <c r="K156" s="371"/>
      <c r="O156" s="371"/>
      <c r="R156" s="371"/>
      <c r="S156" s="371"/>
      <c r="V156" s="371"/>
      <c r="W156" s="371"/>
      <c r="AC156" s="371"/>
      <c r="AD156" s="371"/>
      <c r="AE156" s="371"/>
      <c r="AF156" s="371"/>
      <c r="AG156" s="371"/>
      <c r="AH156" s="371"/>
    </row>
    <row r="157" spans="1:34" ht="409.6">
      <c r="A157" s="1072" t="s">
        <v>653</v>
      </c>
      <c r="B157" s="1072"/>
      <c r="C157" s="1072"/>
      <c r="D157" s="1072"/>
      <c r="E157" s="1072"/>
      <c r="F157" s="1072"/>
      <c r="G157" s="1072"/>
      <c r="H157" s="1072"/>
      <c r="I157" s="1072"/>
      <c r="J157" s="1072"/>
      <c r="K157" s="1072"/>
      <c r="L157" s="1072"/>
      <c r="M157" s="1072"/>
      <c r="N157" s="1072"/>
      <c r="O157" s="1072"/>
      <c r="R157" s="371"/>
      <c r="S157" s="371"/>
      <c r="V157" s="371"/>
      <c r="W157" s="371"/>
      <c r="AC157" s="371"/>
      <c r="AD157" s="371"/>
      <c r="AE157" s="371"/>
      <c r="AF157" s="371"/>
      <c r="AG157" s="371"/>
      <c r="AH157" s="371"/>
    </row>
    <row r="158" spans="1:34" ht="409.6">
      <c r="A158" s="1367" t="s">
        <v>654</v>
      </c>
      <c r="B158" s="1367"/>
      <c r="C158" s="1367"/>
      <c r="D158" s="1367"/>
      <c r="E158" s="1367"/>
      <c r="F158" s="1367"/>
      <c r="G158" s="1367"/>
      <c r="H158" s="1367"/>
      <c r="I158" s="1367"/>
      <c r="J158" s="1367"/>
      <c r="K158" s="1367"/>
      <c r="L158" s="1367"/>
      <c r="M158" s="1367"/>
      <c r="N158" s="1367"/>
      <c r="O158" s="1367"/>
      <c r="R158" s="371"/>
      <c r="S158" s="371"/>
      <c r="V158" s="371"/>
      <c r="W158" s="371"/>
      <c r="AC158" s="371"/>
      <c r="AD158" s="371"/>
      <c r="AE158" s="371"/>
      <c r="AF158" s="371"/>
      <c r="AG158" s="371"/>
      <c r="AH158" s="371"/>
    </row>
    <row r="159" spans="1:34" ht="192">
      <c r="A159" s="1367" t="s">
        <v>655</v>
      </c>
      <c r="E159" s="371"/>
      <c r="G159" s="371"/>
      <c r="K159" s="371"/>
      <c r="O159" s="371"/>
      <c r="R159" s="371"/>
      <c r="S159" s="371"/>
      <c r="V159" s="371"/>
      <c r="W159" s="371"/>
      <c r="AC159" s="371"/>
      <c r="AD159" s="371"/>
      <c r="AE159" s="371"/>
      <c r="AF159" s="371"/>
      <c r="AG159" s="371"/>
      <c r="AH159" s="371"/>
    </row>
    <row r="160" spans="1:34" ht="54.75" customHeight="1">
      <c r="A160" s="1444" t="s">
        <v>656</v>
      </c>
      <c r="B160" s="1444"/>
      <c r="C160" s="1444"/>
      <c r="D160" s="1444"/>
      <c r="E160" s="1444"/>
      <c r="F160" s="1444"/>
      <c r="G160" s="1444"/>
      <c r="H160" s="1444"/>
      <c r="I160" s="1444"/>
      <c r="J160" s="1444"/>
      <c r="K160" s="1444"/>
      <c r="L160" s="1444"/>
      <c r="M160" s="1444"/>
      <c r="N160" s="1444"/>
      <c r="O160" s="1444"/>
      <c r="P160" s="1444"/>
      <c r="Q160" s="1444"/>
      <c r="R160" s="1444"/>
      <c r="S160" s="1444"/>
      <c r="T160" s="1444"/>
      <c r="U160" s="1444"/>
      <c r="V160" s="1444"/>
      <c r="W160" s="1444"/>
      <c r="X160" s="1444"/>
      <c r="AC160" s="371"/>
      <c r="AD160" s="371"/>
      <c r="AE160" s="371"/>
      <c r="AF160" s="371"/>
      <c r="AG160" s="371"/>
      <c r="AH160" s="371"/>
    </row>
    <row r="161" spans="1:33" s="371" customFormat="1">
      <c r="A161" s="1433" t="s">
        <v>657</v>
      </c>
      <c r="B161" s="1433"/>
      <c r="C161" s="1433"/>
      <c r="D161" s="1433"/>
      <c r="E161" s="1433"/>
      <c r="F161" s="1433"/>
      <c r="G161" s="1433"/>
      <c r="H161" s="1433"/>
      <c r="I161" s="1433"/>
      <c r="J161" s="1433"/>
      <c r="K161" s="1433"/>
      <c r="L161" s="1433"/>
      <c r="M161" s="1433"/>
      <c r="N161" s="1433"/>
      <c r="O161" s="1433"/>
      <c r="P161" s="1433"/>
      <c r="Q161" s="1433"/>
      <c r="R161" s="1433"/>
      <c r="S161" s="1433"/>
      <c r="T161" s="1433"/>
      <c r="U161" s="1433"/>
      <c r="V161" s="1433"/>
      <c r="W161" s="1433"/>
      <c r="X161" s="1433"/>
      <c r="Y161" s="1433"/>
      <c r="Z161" s="1433"/>
      <c r="AA161" s="1433"/>
      <c r="AB161" s="1433"/>
      <c r="AC161" s="1433"/>
      <c r="AD161" s="1433"/>
      <c r="AE161" s="1433"/>
      <c r="AF161" s="1433"/>
      <c r="AG161" s="1433"/>
    </row>
    <row r="162" spans="1:33" s="371" customFormat="1" ht="409.6">
      <c r="A162" s="1096" t="s">
        <v>658</v>
      </c>
      <c r="B162" s="1096"/>
      <c r="C162" s="1096"/>
      <c r="D162" s="1096"/>
      <c r="E162" s="1096"/>
      <c r="F162" s="1096"/>
      <c r="G162" s="1096"/>
      <c r="H162" s="1096"/>
      <c r="I162" s="1096"/>
      <c r="J162" s="1096"/>
      <c r="K162" s="1096"/>
      <c r="L162" s="1096"/>
      <c r="M162" s="1096"/>
      <c r="N162" s="1096"/>
      <c r="O162" s="1096"/>
      <c r="P162" s="1096"/>
      <c r="Q162" s="1096"/>
      <c r="R162" s="1096"/>
      <c r="S162" s="1096"/>
      <c r="T162" s="1096"/>
      <c r="U162" s="1096"/>
      <c r="V162" s="1096"/>
      <c r="W162" s="1096"/>
      <c r="X162" s="1096"/>
    </row>
    <row r="163" spans="1:33" s="371" customFormat="1" ht="409.6">
      <c r="A163" s="1096" t="s">
        <v>659</v>
      </c>
      <c r="B163" s="1096"/>
      <c r="C163" s="1096"/>
      <c r="D163" s="1096"/>
      <c r="E163" s="1096"/>
      <c r="F163" s="1096"/>
      <c r="G163" s="1096"/>
      <c r="H163" s="1096"/>
      <c r="I163" s="1096"/>
      <c r="J163" s="1096"/>
      <c r="K163" s="1096"/>
      <c r="L163" s="1096"/>
      <c r="M163" s="1096"/>
      <c r="N163" s="1096"/>
      <c r="O163" s="1096"/>
      <c r="P163" s="1096"/>
      <c r="Q163" s="1096"/>
      <c r="R163" s="1096"/>
      <c r="S163" s="1096"/>
      <c r="T163" s="1096"/>
      <c r="U163" s="1096"/>
      <c r="V163" s="1096"/>
      <c r="W163" s="1096"/>
      <c r="X163" s="1096"/>
    </row>
    <row r="164" spans="1:33" s="371" customFormat="1" ht="409.6">
      <c r="A164" s="1096" t="s">
        <v>660</v>
      </c>
      <c r="B164" s="1096"/>
      <c r="C164" s="1096"/>
      <c r="D164" s="1096"/>
      <c r="E164" s="1096"/>
      <c r="F164" s="1096"/>
      <c r="G164" s="1096"/>
      <c r="H164" s="1096"/>
      <c r="I164" s="1096"/>
      <c r="J164" s="1096"/>
      <c r="K164" s="1096"/>
      <c r="L164" s="1096"/>
      <c r="M164" s="1096"/>
      <c r="N164" s="1096"/>
      <c r="O164" s="1096"/>
      <c r="P164" s="1096"/>
      <c r="Q164" s="1096"/>
      <c r="R164" s="1096"/>
      <c r="S164" s="1096"/>
      <c r="T164" s="1096"/>
      <c r="U164" s="1096"/>
      <c r="V164" s="1096"/>
      <c r="W164" s="1096"/>
      <c r="X164" s="1096"/>
    </row>
    <row r="165" spans="1:33" s="371" customFormat="1" ht="409.6">
      <c r="A165" s="1096" t="s">
        <v>661</v>
      </c>
      <c r="B165" s="1096"/>
      <c r="C165" s="1096"/>
      <c r="D165" s="1096"/>
      <c r="E165" s="1096"/>
      <c r="F165" s="1096"/>
      <c r="G165" s="1096"/>
      <c r="H165" s="1096"/>
      <c r="I165" s="1096"/>
      <c r="J165" s="1096"/>
      <c r="K165" s="1096"/>
      <c r="L165" s="1096"/>
      <c r="M165" s="1096"/>
      <c r="N165" s="1096"/>
      <c r="O165" s="1096"/>
      <c r="P165" s="1096"/>
      <c r="Q165" s="1096"/>
      <c r="R165" s="1096"/>
      <c r="S165" s="1096"/>
      <c r="T165" s="1096"/>
      <c r="U165" s="1096"/>
      <c r="V165" s="1096"/>
      <c r="W165" s="1096"/>
      <c r="X165" s="1096"/>
    </row>
    <row r="166" spans="1:33" s="371" customFormat="1" ht="409.6">
      <c r="A166" s="1096" t="s">
        <v>662</v>
      </c>
      <c r="B166" s="1096"/>
      <c r="C166" s="1096"/>
      <c r="D166" s="1096"/>
      <c r="E166" s="1096"/>
      <c r="F166" s="1096"/>
      <c r="G166" s="1096"/>
      <c r="H166" s="1096"/>
      <c r="I166" s="1096"/>
      <c r="J166" s="1096"/>
      <c r="K166" s="1096"/>
      <c r="L166" s="1096"/>
      <c r="M166" s="1096"/>
      <c r="N166" s="1096"/>
      <c r="O166" s="1096"/>
      <c r="P166" s="1096"/>
      <c r="Q166" s="1096"/>
      <c r="R166" s="1096"/>
      <c r="S166" s="1096"/>
      <c r="T166" s="1096"/>
      <c r="U166" s="1096"/>
      <c r="V166" s="1096"/>
      <c r="W166" s="1096"/>
      <c r="X166" s="1096"/>
    </row>
    <row r="167" spans="1:33" s="371" customFormat="1">
      <c r="A167" s="1367"/>
    </row>
    <row r="168" spans="1:33" s="371" customFormat="1">
      <c r="A168" s="1435" t="s">
        <v>111</v>
      </c>
      <c r="B168" s="1435"/>
      <c r="C168" s="1435"/>
      <c r="D168" s="1435"/>
      <c r="E168" s="1435"/>
      <c r="F168" s="1435"/>
      <c r="G168" s="1435"/>
      <c r="H168" s="1435"/>
      <c r="I168" s="1435"/>
      <c r="J168" s="1435"/>
      <c r="K168" s="1435"/>
      <c r="L168" s="1435"/>
      <c r="M168" s="1435"/>
      <c r="N168" s="1435"/>
      <c r="O168" s="1435"/>
    </row>
    <row r="169" spans="1:33" s="371" customFormat="1">
      <c r="A169" s="1436" t="s">
        <v>112</v>
      </c>
      <c r="B169" s="1436"/>
      <c r="C169" s="1436"/>
      <c r="D169" s="1436"/>
      <c r="E169" s="1436"/>
      <c r="F169" s="1436"/>
      <c r="G169" s="1436"/>
      <c r="H169" s="1436"/>
      <c r="I169" s="1436"/>
      <c r="J169" s="1436"/>
      <c r="K169" s="1436"/>
      <c r="L169" s="1436"/>
      <c r="M169" s="1436"/>
      <c r="N169" s="1436"/>
      <c r="O169" s="1436"/>
    </row>
    <row r="170" spans="1:33" s="371" customFormat="1">
      <c r="E170" s="1101"/>
      <c r="H170" s="1072"/>
    </row>
    <row r="171" spans="1:33" s="371" customFormat="1" ht="38.25">
      <c r="F171" s="1368" t="s">
        <v>392</v>
      </c>
      <c r="H171" s="1072" t="str">
        <f>+STATISTICS!C112</f>
        <v>/Нэр/</v>
      </c>
    </row>
    <row r="172" spans="1:33" s="371" customFormat="1">
      <c r="F172" s="1369"/>
      <c r="H172" s="1072"/>
    </row>
    <row r="173" spans="1:33" s="371" customFormat="1" ht="25.5">
      <c r="F173" s="1368" t="s">
        <v>115</v>
      </c>
      <c r="H173" s="1072" t="str">
        <f>+STATISTICS!C114</f>
        <v>/Нэр/</v>
      </c>
    </row>
  </sheetData>
  <sheetProtection algorithmName="SHA-512" hashValue="aGQNAuSgHcFrhJBo6cdDons2h79fCRssWvfvV957nV79wJg0hLQGi3kQiVmEzsff76AQb6xIb898JkS17XqjeQ==" saltValue="YDcuQ7jVsflF8gVydyzHRg==" spinCount="100000" sheet="1" objects="1" scenarios="1"/>
  <mergeCells count="67">
    <mergeCell ref="AF10:AF11"/>
    <mergeCell ref="X9:X11"/>
    <mergeCell ref="Y9:AG9"/>
    <mergeCell ref="R10:S10"/>
    <mergeCell ref="M25:O29"/>
    <mergeCell ref="AC25:AG29"/>
    <mergeCell ref="AG10:AG11"/>
    <mergeCell ref="X13:X25"/>
    <mergeCell ref="M10:M11"/>
    <mergeCell ref="O10:O11"/>
    <mergeCell ref="G10:H10"/>
    <mergeCell ref="G30:H30"/>
    <mergeCell ref="T9:W9"/>
    <mergeCell ref="T10:U10"/>
    <mergeCell ref="I10:J10"/>
    <mergeCell ref="K10:L10"/>
    <mergeCell ref="K30:O30"/>
    <mergeCell ref="R30:S30"/>
    <mergeCell ref="V30:W30"/>
    <mergeCell ref="A43:A47"/>
    <mergeCell ref="P10:Q10"/>
    <mergeCell ref="A14:A17"/>
    <mergeCell ref="A25:A29"/>
    <mergeCell ref="AA30:AG30"/>
    <mergeCell ref="V10:W10"/>
    <mergeCell ref="Y10:Z10"/>
    <mergeCell ref="AA10:AB10"/>
    <mergeCell ref="AC10:AC11"/>
    <mergeCell ref="AE10:AE11"/>
    <mergeCell ref="A9:C11"/>
    <mergeCell ref="D9:D11"/>
    <mergeCell ref="E9:H9"/>
    <mergeCell ref="I9:O9"/>
    <mergeCell ref="P9:S9"/>
    <mergeCell ref="E10:F10"/>
    <mergeCell ref="A98:A102"/>
    <mergeCell ref="A4:AG4"/>
    <mergeCell ref="A5:AG5"/>
    <mergeCell ref="A6:AG6"/>
    <mergeCell ref="A160:X160"/>
    <mergeCell ref="A140:A149"/>
    <mergeCell ref="X31:X149"/>
    <mergeCell ref="A108:A113"/>
    <mergeCell ref="A114:A119"/>
    <mergeCell ref="A120:A124"/>
    <mergeCell ref="A125:A129"/>
    <mergeCell ref="A130:A134"/>
    <mergeCell ref="A135:A139"/>
    <mergeCell ref="A103:A107"/>
    <mergeCell ref="A31:A37"/>
    <mergeCell ref="A38:A42"/>
    <mergeCell ref="R1:AG1"/>
    <mergeCell ref="A161:AG161"/>
    <mergeCell ref="A151:O151"/>
    <mergeCell ref="A168:O168"/>
    <mergeCell ref="A169:O169"/>
    <mergeCell ref="A18:A24"/>
    <mergeCell ref="A48:A52"/>
    <mergeCell ref="A53:A57"/>
    <mergeCell ref="A58:A62"/>
    <mergeCell ref="A63:A67"/>
    <mergeCell ref="A68:A72"/>
    <mergeCell ref="A73:A77"/>
    <mergeCell ref="A78:A82"/>
    <mergeCell ref="A83:A87"/>
    <mergeCell ref="A88:A92"/>
    <mergeCell ref="A93:A97"/>
  </mergeCells>
  <conditionalFormatting sqref="Y13:AB29 Y30:Z30">
    <cfRule type="cellIs" dxfId="13" priority="2" operator="lessThan">
      <formula>0</formula>
    </cfRule>
  </conditionalFormatting>
  <conditionalFormatting sqref="Y31:AB149">
    <cfRule type="cellIs" dxfId="12" priority="1" operator="lessThan">
      <formula>0</formula>
    </cfRule>
  </conditionalFormatting>
  <dataValidations count="15">
    <dataValidation type="custom" allowBlank="1" showInputMessage="1" showErrorMessage="1" error="Нийт дүнг нөхсөний дараа нөхнө үү!" sqref="K14:K18 G14:G18 V14:V18 R14:R18" xr:uid="{126A7C56-14F8-49BF-BA24-B06B640CA2A3}">
      <formula1>E14&gt;0</formula1>
    </dataValidation>
    <dataValidation type="custom" allowBlank="1" showInputMessage="1" showErrorMessage="1" error="Нийт тоог нөхсөний дараа нөхнө үү!" sqref="L14:L18 H14:H18 W14:W18 S14:S18" xr:uid="{8B60D7FF-EE85-488F-9C59-1C957773C4AB}">
      <formula1>F14&gt;0</formula1>
    </dataValidation>
    <dataValidation type="decimal" allowBlank="1" showInputMessage="1" showErrorMessage="1" sqref="P14:P18 I14:I18 T14:T18 E14:E18" xr:uid="{8E3E03CD-9DE5-430A-AD44-387FE62D4FF4}">
      <formula1>0</formula1>
      <formula2>1000000000000000</formula2>
    </dataValidation>
    <dataValidation type="whole" allowBlank="1" showInputMessage="1" showErrorMessage="1" sqref="U14:U18 F14:F18 J14:J18 Q14:Q18" xr:uid="{4358673B-DCB0-4CDC-BEED-B1BF8B1253F2}">
      <formula1>0</formula1>
      <formula2>1000000</formula2>
    </dataValidation>
    <dataValidation type="decimal" allowBlank="1" showInputMessage="1" showErrorMessage="1" sqref="Y14:Y149" xr:uid="{0EA1982B-21B0-453B-91DB-3499319B39C8}">
      <formula1>0</formula1>
      <formula2>10000000000000000</formula2>
    </dataValidation>
    <dataValidation type="whole" allowBlank="1" showInputMessage="1" showErrorMessage="1" sqref="Z14:Z149" xr:uid="{13429279-D1D6-4A1D-B54E-DA02086FF976}">
      <formula1>0</formula1>
      <formula2>100000000000000</formula2>
    </dataValidation>
    <dataValidation type="decimal" allowBlank="1" showInputMessage="1" showErrorMessage="1" error="Нийт дүнг нөхсөний дараа нөхнө үү!" sqref="AA14:AA29" xr:uid="{07D51713-6E59-40D4-AFAC-88143376FEC4}">
      <formula1>0</formula1>
      <formula2>1E+23</formula2>
    </dataValidation>
    <dataValidation type="whole" allowBlank="1" showInputMessage="1" showErrorMessage="1" error="Нийт тоог нөхсөний дараа нөхнө үү!" sqref="AB14:AB29" xr:uid="{6D4036C7-8A5E-4A71-815E-73350127F7DD}">
      <formula1>0</formula1>
      <formula2>100000000000</formula2>
    </dataValidation>
    <dataValidation type="decimal" allowBlank="1" showInputMessage="1" showErrorMessage="1" sqref="AA31:AA149" xr:uid="{0214C561-74BE-429A-857C-24C46F35E168}">
      <formula1>0</formula1>
      <formula2>10000000000000000000</formula2>
    </dataValidation>
    <dataValidation type="whole" allowBlank="1" showInputMessage="1" showErrorMessage="1" sqref="AB31:AB149" xr:uid="{F19F0CB7-20DA-4B8D-A135-357B51F6EBDF}">
      <formula1>0</formula1>
      <formula2>10000000000</formula2>
    </dataValidation>
    <dataValidation type="decimal" allowBlank="1" showInputMessage="1" showErrorMessage="1" sqref="X26:X30" xr:uid="{518A065B-A87B-41B0-8DFC-8294267B0266}">
      <formula1>0</formula1>
      <formula2>100000000000000000000</formula2>
    </dataValidation>
    <dataValidation type="decimal" allowBlank="1" showInputMessage="1" showErrorMessage="1" sqref="G19:G29 I19:I29 K19:K29 R19:R29 K31:K149 E19:E149 G31:G149 I31:I149 P19:P149 R31:R149 T19:T149 V19:V29 V31:V149" xr:uid="{692D64EF-644C-498D-89DF-C4EA8E2797AA}">
      <formula1>0</formula1>
      <formula2>1E+21</formula2>
    </dataValidation>
    <dataValidation type="whole" allowBlank="1" showInputMessage="1" showErrorMessage="1" sqref="F19:F30 H19:H29 J19:J29 N18 Q19:Q30 S19:S29 U19:U30 L19:L29 M19:N24 W19:W29" xr:uid="{F6A0CEE3-4F85-4AC7-932A-FC4F17A3D58D}">
      <formula1>0</formula1>
      <formula2>100000000000</formula2>
    </dataValidation>
    <dataValidation type="whole" allowBlank="1" showInputMessage="1" showErrorMessage="1" sqref="H31:H149 J31:J150 L31:N149 Q31:Q149 S31:S149 U31:U149 W31:W149 F31:F149" xr:uid="{D42EE9A1-150C-443E-A58C-411D639D11DF}">
      <formula1>0</formula1>
      <formula2>1000000000000000</formula2>
    </dataValidation>
    <dataValidation type="decimal" allowBlank="1" showInputMessage="1" showErrorMessage="1" sqref="AE174:AG1048576 AE30:AG150 AE2:AG3 AE7:AG24 O174:O1048576 O31:O150 O1:O3 O7:O12 O14:O24" xr:uid="{24765796-61FB-4605-A634-F21083AB6C97}">
      <formula1>0</formula1>
      <formula2>0.2</formula2>
    </dataValidation>
  </dataValidations>
  <hyperlinks>
    <hyperlink ref="B154" r:id="rId1" xr:uid="{BB1A436E-183E-4027-9F62-5E06650BD1B9}"/>
  </hyperlinks>
  <pageMargins left="0.7" right="0.7" top="0.75" bottom="0.75" header="0.3" footer="0.3"/>
  <pageSetup paperSize="9" scale="29"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DD117-19EF-46C2-AF6F-E069FFFDA50A}">
  <dimension ref="A1:AC130"/>
  <sheetViews>
    <sheetView zoomScale="85" zoomScaleNormal="85" workbookViewId="0">
      <pane xSplit="2" ySplit="11" topLeftCell="C12" activePane="bottomRight" state="frozen"/>
      <selection pane="topRight" activeCell="C1" sqref="C1"/>
      <selection pane="bottomLeft" activeCell="A5" sqref="A5"/>
      <selection pane="bottomRight" activeCell="Z12" sqref="Z12"/>
    </sheetView>
  </sheetViews>
  <sheetFormatPr defaultRowHeight="15"/>
  <cols>
    <col min="1" max="1" width="6.28515625" customWidth="1"/>
    <col min="2" max="2" width="47" style="371" customWidth="1"/>
    <col min="3" max="3" width="5.28515625" customWidth="1"/>
    <col min="4" max="4" width="17" style="364" bestFit="1" customWidth="1"/>
    <col min="5" max="5" width="7.28515625" style="397" bestFit="1" customWidth="1"/>
    <col min="6" max="6" width="17" style="386" bestFit="1" customWidth="1"/>
    <col min="7" max="7" width="7.42578125" style="398" bestFit="1" customWidth="1"/>
    <col min="8" max="8" width="7.85546875" style="398" bestFit="1" customWidth="1"/>
    <col min="9" max="9" width="3.85546875" style="398" hidden="1" customWidth="1"/>
    <col min="10" max="10" width="8" style="372" bestFit="1" customWidth="1"/>
    <col min="11" max="11" width="17" style="386" bestFit="1" customWidth="1"/>
    <col min="12" max="12" width="7.42578125" style="398" bestFit="1" customWidth="1"/>
    <col min="13" max="13" width="17" style="386" bestFit="1" customWidth="1"/>
    <col min="14" max="14" width="9.28515625" style="398" bestFit="1" customWidth="1"/>
    <col min="15" max="15" width="16" style="386" customWidth="1"/>
    <col min="16" max="16" width="7.7109375" style="398" bestFit="1" customWidth="1"/>
    <col min="17" max="17" width="17" style="386" bestFit="1" customWidth="1"/>
    <col min="18" max="18" width="7.7109375" style="398" bestFit="1" customWidth="1"/>
    <col min="19" max="19" width="7.85546875" style="398" bestFit="1" customWidth="1"/>
    <col min="20" max="20" width="3.85546875" style="398" hidden="1" customWidth="1"/>
    <col min="21" max="21" width="12.140625" style="372" bestFit="1" customWidth="1"/>
  </cols>
  <sheetData>
    <row r="1" spans="1:29" ht="10.5" customHeight="1">
      <c r="A1" s="6"/>
      <c r="B1" s="1418"/>
      <c r="C1" s="1418"/>
      <c r="D1" s="1418"/>
      <c r="E1" s="6"/>
      <c r="F1" s="7"/>
      <c r="G1" s="6"/>
      <c r="H1" s="6"/>
      <c r="I1" s="6"/>
      <c r="J1" s="6"/>
      <c r="K1" s="6"/>
      <c r="L1" s="6"/>
      <c r="M1" s="6"/>
      <c r="N1" s="6"/>
      <c r="O1" s="6"/>
      <c r="P1" s="6"/>
      <c r="Q1" s="6"/>
      <c r="R1" s="6"/>
      <c r="S1" s="6"/>
      <c r="T1" s="6"/>
      <c r="U1" s="6"/>
      <c r="V1" s="6"/>
      <c r="W1" s="6"/>
      <c r="X1" s="6"/>
    </row>
    <row r="2" spans="1:29" ht="10.5" customHeight="1">
      <c r="A2" s="6"/>
      <c r="B2" s="1418"/>
      <c r="C2" s="1418"/>
      <c r="D2" s="1418"/>
      <c r="E2" s="6"/>
      <c r="F2" s="6"/>
      <c r="G2" s="6"/>
      <c r="H2" s="6"/>
      <c r="I2" s="6"/>
      <c r="J2" s="6"/>
      <c r="K2" s="6"/>
      <c r="L2" s="6"/>
      <c r="M2" s="6"/>
      <c r="N2" s="6"/>
      <c r="O2" s="6"/>
      <c r="P2" s="6"/>
      <c r="Q2" s="6"/>
      <c r="R2" s="6"/>
      <c r="S2" s="6"/>
      <c r="T2" s="6"/>
      <c r="U2" s="6"/>
      <c r="V2" s="6"/>
      <c r="W2" s="6"/>
      <c r="X2" s="6"/>
    </row>
    <row r="3" spans="1:29" ht="10.5" customHeight="1">
      <c r="A3" s="7"/>
      <c r="B3" s="29"/>
      <c r="C3" s="8" t="s">
        <v>529</v>
      </c>
      <c r="D3" s="66"/>
      <c r="E3" s="7"/>
      <c r="F3" s="7"/>
      <c r="G3" s="7"/>
      <c r="H3" s="7"/>
      <c r="I3" s="7"/>
      <c r="J3" s="7"/>
      <c r="K3" s="7"/>
      <c r="L3" s="7"/>
      <c r="M3" s="7"/>
      <c r="N3" s="7"/>
      <c r="O3" s="7"/>
      <c r="P3" s="7"/>
      <c r="Q3" s="7"/>
      <c r="R3" s="7"/>
      <c r="S3" s="7"/>
      <c r="T3" s="7"/>
      <c r="U3" s="7"/>
      <c r="V3" s="7"/>
      <c r="W3" s="7"/>
      <c r="X3" s="7"/>
      <c r="Y3" s="7"/>
      <c r="Z3" s="7"/>
      <c r="AA3" s="7"/>
      <c r="AB3" s="7"/>
      <c r="AC3" s="7"/>
    </row>
    <row r="4" spans="1:29" ht="12" customHeight="1">
      <c r="A4" s="1419" t="s">
        <v>663</v>
      </c>
      <c r="B4" s="1419"/>
      <c r="C4" s="1419"/>
      <c r="D4" s="1419"/>
      <c r="E4" s="1419"/>
      <c r="F4" s="1419"/>
      <c r="G4" s="1419"/>
      <c r="H4" s="1419"/>
      <c r="I4" s="1419"/>
      <c r="J4" s="1419"/>
      <c r="K4" s="1419"/>
      <c r="L4" s="1419"/>
      <c r="M4" s="1419"/>
      <c r="N4" s="1419"/>
      <c r="O4" s="1419"/>
      <c r="P4" s="1419"/>
      <c r="Q4" s="1419"/>
      <c r="R4" s="1419"/>
      <c r="S4" s="1419"/>
      <c r="T4" s="1419"/>
      <c r="U4" s="1419"/>
      <c r="V4" s="7"/>
      <c r="W4" s="7"/>
      <c r="X4" s="7"/>
      <c r="Y4" s="7"/>
      <c r="Z4" s="7"/>
      <c r="AA4" s="7"/>
      <c r="AB4" s="7"/>
      <c r="AC4" s="7"/>
    </row>
    <row r="5" spans="1:29" ht="12.75" customHeight="1">
      <c r="A5" s="1420" t="str">
        <f>+STATISTICS!A5</f>
        <v>ХАДГАЛАМЖ, ЗЭЭЛИЙН ХОРШООНЫ НЭР</v>
      </c>
      <c r="B5" s="1420"/>
      <c r="C5" s="1420"/>
      <c r="D5" s="1420"/>
      <c r="E5" s="1420"/>
      <c r="F5" s="1420"/>
      <c r="G5" s="1420"/>
      <c r="H5" s="1420"/>
      <c r="I5" s="1420"/>
      <c r="J5" s="1420"/>
      <c r="K5" s="1420"/>
      <c r="L5" s="1420"/>
      <c r="M5" s="1420"/>
      <c r="N5" s="1420"/>
      <c r="O5" s="1420"/>
      <c r="P5" s="1420"/>
      <c r="Q5" s="1420"/>
      <c r="R5" s="1420"/>
      <c r="S5" s="1420"/>
      <c r="T5" s="1420"/>
      <c r="U5" s="1420"/>
      <c r="V5" s="7"/>
      <c r="W5" s="7"/>
      <c r="X5" s="7"/>
      <c r="Y5" s="7"/>
      <c r="Z5" s="7"/>
      <c r="AA5" s="7"/>
      <c r="AB5" s="7"/>
      <c r="AC5" s="7"/>
    </row>
    <row r="6" spans="1:29" ht="12.75" customHeight="1">
      <c r="A6" s="1419" t="s">
        <v>38</v>
      </c>
      <c r="B6" s="1419"/>
      <c r="C6" s="1419"/>
      <c r="D6" s="1419"/>
      <c r="E6" s="1419"/>
      <c r="F6" s="1419"/>
      <c r="G6" s="1419"/>
      <c r="H6" s="1419"/>
      <c r="I6" s="1419"/>
      <c r="J6" s="1419"/>
      <c r="K6" s="1419"/>
      <c r="L6" s="1419"/>
      <c r="M6" s="1419"/>
      <c r="N6" s="1419"/>
      <c r="O6" s="1419"/>
      <c r="P6" s="1419"/>
      <c r="Q6" s="1419"/>
      <c r="R6" s="1419"/>
      <c r="S6" s="1419"/>
      <c r="T6" s="1419"/>
      <c r="U6" s="1419"/>
      <c r="V6" s="7"/>
      <c r="W6" s="7"/>
      <c r="X6" s="7"/>
      <c r="Y6" s="7"/>
      <c r="Z6" s="7"/>
      <c r="AA6" s="7"/>
      <c r="AB6" s="7"/>
      <c r="AC6" s="7"/>
    </row>
    <row r="7" spans="1:29" ht="10.5" customHeight="1">
      <c r="A7" s="7"/>
      <c r="B7" s="29"/>
      <c r="C7" s="8"/>
      <c r="D7" s="66"/>
      <c r="E7" s="7"/>
      <c r="F7" s="7"/>
      <c r="G7" s="7"/>
      <c r="H7" s="7"/>
      <c r="I7" s="7"/>
      <c r="J7" s="7"/>
      <c r="K7" s="7"/>
      <c r="L7" s="7"/>
      <c r="M7" s="7"/>
      <c r="N7" s="7"/>
      <c r="O7" s="7"/>
      <c r="P7" s="7"/>
      <c r="Q7" s="7"/>
      <c r="R7" s="7"/>
      <c r="S7" s="7"/>
      <c r="T7" s="7"/>
      <c r="U7" s="7"/>
      <c r="V7" s="7"/>
      <c r="W7" s="7"/>
      <c r="X7" s="7"/>
      <c r="Y7" s="7"/>
      <c r="Z7" s="7"/>
      <c r="AA7" s="7"/>
      <c r="AB7" s="7"/>
      <c r="AC7" s="7"/>
    </row>
    <row r="8" spans="1:29" ht="12" customHeight="1" thickBot="1">
      <c r="A8" s="1421"/>
      <c r="B8" s="1422"/>
      <c r="C8" s="9"/>
      <c r="D8"/>
      <c r="E8" s="9"/>
      <c r="F8" s="9"/>
      <c r="G8" s="9"/>
      <c r="H8" s="9"/>
      <c r="I8" s="9"/>
      <c r="J8" s="9"/>
      <c r="K8" s="9"/>
      <c r="L8" s="9"/>
      <c r="M8" s="9"/>
      <c r="N8" s="9"/>
      <c r="O8" s="9"/>
      <c r="P8" s="9"/>
      <c r="Q8" s="9"/>
      <c r="R8" s="9"/>
      <c r="S8" s="9"/>
      <c r="T8" s="9"/>
      <c r="U8" s="67" t="s">
        <v>117</v>
      </c>
      <c r="V8" s="9"/>
    </row>
    <row r="9" spans="1:29" ht="24.75" customHeight="1">
      <c r="A9" s="1517" t="s">
        <v>664</v>
      </c>
      <c r="B9" s="1527" t="s">
        <v>665</v>
      </c>
      <c r="C9" s="1529" t="s">
        <v>666</v>
      </c>
      <c r="D9" s="1531" t="s">
        <v>557</v>
      </c>
      <c r="E9" s="1531"/>
      <c r="F9" s="1511" t="s">
        <v>558</v>
      </c>
      <c r="G9" s="1511"/>
      <c r="H9" s="1511"/>
      <c r="I9" s="1511"/>
      <c r="J9" s="1511"/>
      <c r="K9" s="1511" t="s">
        <v>559</v>
      </c>
      <c r="L9" s="1511"/>
      <c r="M9" s="1511" t="s">
        <v>560</v>
      </c>
      <c r="N9" s="1511"/>
      <c r="O9" s="1511" t="s">
        <v>561</v>
      </c>
      <c r="P9" s="1511"/>
      <c r="Q9" s="1511" t="s">
        <v>562</v>
      </c>
      <c r="R9" s="1511"/>
      <c r="S9" s="1511"/>
      <c r="T9" s="1512"/>
      <c r="U9" s="1513"/>
    </row>
    <row r="10" spans="1:29" ht="39.75" thickBot="1">
      <c r="A10" s="1518"/>
      <c r="B10" s="1528"/>
      <c r="C10" s="1530"/>
      <c r="D10" s="373" t="s">
        <v>569</v>
      </c>
      <c r="E10" s="1020" t="s">
        <v>570</v>
      </c>
      <c r="F10" s="373" t="s">
        <v>569</v>
      </c>
      <c r="G10" s="1020" t="s">
        <v>570</v>
      </c>
      <c r="H10" s="422" t="s">
        <v>667</v>
      </c>
      <c r="I10" s="422"/>
      <c r="J10" s="423" t="s">
        <v>668</v>
      </c>
      <c r="K10" s="373" t="s">
        <v>569</v>
      </c>
      <c r="L10" s="1020" t="s">
        <v>570</v>
      </c>
      <c r="M10" s="373" t="s">
        <v>569</v>
      </c>
      <c r="N10" s="1020" t="s">
        <v>570</v>
      </c>
      <c r="O10" s="373" t="s">
        <v>569</v>
      </c>
      <c r="P10" s="1020" t="s">
        <v>570</v>
      </c>
      <c r="Q10" s="373" t="s">
        <v>569</v>
      </c>
      <c r="R10" s="1020" t="s">
        <v>570</v>
      </c>
      <c r="S10" s="422" t="s">
        <v>667</v>
      </c>
      <c r="T10" s="990"/>
      <c r="U10" s="424" t="s">
        <v>668</v>
      </c>
    </row>
    <row r="11" spans="1:29" ht="15.75" thickBot="1">
      <c r="A11" s="1518"/>
      <c r="B11" s="425" t="s">
        <v>669</v>
      </c>
      <c r="C11" s="370"/>
      <c r="D11" s="426">
        <v>1</v>
      </c>
      <c r="E11" s="427">
        <v>2</v>
      </c>
      <c r="F11" s="404">
        <v>3</v>
      </c>
      <c r="G11" s="404">
        <v>4</v>
      </c>
      <c r="H11" s="427">
        <v>5</v>
      </c>
      <c r="I11" s="427"/>
      <c r="J11" s="428">
        <v>6</v>
      </c>
      <c r="K11" s="404">
        <v>7</v>
      </c>
      <c r="L11" s="404">
        <v>8</v>
      </c>
      <c r="M11" s="404">
        <v>9</v>
      </c>
      <c r="N11" s="404">
        <v>10</v>
      </c>
      <c r="O11" s="404">
        <v>11</v>
      </c>
      <c r="P11" s="404">
        <v>12</v>
      </c>
      <c r="Q11" s="427">
        <v>13</v>
      </c>
      <c r="R11" s="427">
        <v>14</v>
      </c>
      <c r="S11" s="427">
        <v>15</v>
      </c>
      <c r="T11" s="991"/>
      <c r="U11" s="429">
        <v>16</v>
      </c>
    </row>
    <row r="12" spans="1:29" ht="15.75" thickBot="1">
      <c r="A12" s="1519"/>
      <c r="B12" s="430" t="s">
        <v>670</v>
      </c>
      <c r="C12" s="421">
        <v>1</v>
      </c>
      <c r="D12" s="419">
        <f>ROUND(SUM(D19,D36,D47,D60,D68,D76,D87,D101),2)</f>
        <v>0</v>
      </c>
      <c r="E12" s="413">
        <f>+E19+E36+E47+E60+E68+E76+E87+E101</f>
        <v>0</v>
      </c>
      <c r="F12" s="414">
        <f>ROUND(SUM(F19,F36,F47,F60,F68,F76,F87,F101),2)</f>
        <v>0</v>
      </c>
      <c r="G12" s="413">
        <f>+G19+G36+G47+G60+G68+G76+G87+G101</f>
        <v>0</v>
      </c>
      <c r="H12" s="413" t="str">
        <f ca="1">IFERROR(SUM(H19,H36,H47,H60,H68,H76,H87,H101)/SUM(COUNTIF(INDIRECT({"H19","H36","H47","H60","H68","H76","H87","H101"}),"&gt;0")),"")</f>
        <v/>
      </c>
      <c r="I12" s="414">
        <f>+I19+I36+I47+I60+I68+I76+I87+I101</f>
        <v>0</v>
      </c>
      <c r="J12" s="1055" t="e">
        <f>+I12/F12</f>
        <v>#DIV/0!</v>
      </c>
      <c r="K12" s="414">
        <f>ROUND(SUM(K19,K36,K47,K60,K68,K76,K87,K101),2)</f>
        <v>0</v>
      </c>
      <c r="L12" s="413">
        <f t="shared" ref="L12:R12" si="0">+L19+L36+L47+L60+L68+L76+L87+L101</f>
        <v>0</v>
      </c>
      <c r="M12" s="414">
        <f>ROUND(SUM(M19,M36,M47,M60,M68,M76,M87,M101),2)</f>
        <v>0</v>
      </c>
      <c r="N12" s="413">
        <f t="shared" si="0"/>
        <v>0</v>
      </c>
      <c r="O12" s="414">
        <f>ROUND(SUM(O14:O17),2)</f>
        <v>0</v>
      </c>
      <c r="P12" s="414">
        <f>SUM(P14:P17)</f>
        <v>0</v>
      </c>
      <c r="Q12" s="414">
        <f>ROUND(SUM(Q19,Q36,Q47,Q60,Q68,Q76,Q87,Q101),2)</f>
        <v>0</v>
      </c>
      <c r="R12" s="413">
        <f t="shared" si="0"/>
        <v>0</v>
      </c>
      <c r="S12" s="413" t="str">
        <f ca="1">IFERROR(SUM(S19,S36,S47,S60,S68,S76,S87,S101)/SUM(COUNTIF(INDIRECT({"S19","S36","S47","S60","S68","S76","S87","S101"}),"&gt;0")),"")</f>
        <v/>
      </c>
      <c r="T12" s="996">
        <f>+T19+T36+T47+T60+T68+T76+T87+T101</f>
        <v>0</v>
      </c>
      <c r="U12" s="988" t="e">
        <f>+(U19+U36+U47+U60+U68+U76+U87+U101)/Q12</f>
        <v>#DIV/0!</v>
      </c>
    </row>
    <row r="13" spans="1:29">
      <c r="A13" s="431" t="s">
        <v>671</v>
      </c>
      <c r="B13" s="432" t="s">
        <v>586</v>
      </c>
      <c r="C13" s="420">
        <v>2</v>
      </c>
      <c r="D13" s="451"/>
      <c r="E13" s="452"/>
      <c r="F13" s="457"/>
      <c r="G13" s="452"/>
      <c r="H13" s="452"/>
      <c r="I13" s="1061"/>
      <c r="J13" s="974"/>
      <c r="K13" s="457"/>
      <c r="L13" s="452"/>
      <c r="M13" s="457"/>
      <c r="N13" s="458"/>
      <c r="O13" s="1526" t="s">
        <v>587</v>
      </c>
      <c r="P13" s="1526"/>
      <c r="Q13" s="374">
        <f>ROUND(SUM(D13,F13,-K13,-M13),2)</f>
        <v>0</v>
      </c>
      <c r="R13" s="389">
        <f>+E13+G13-N13</f>
        <v>0</v>
      </c>
      <c r="S13" s="452"/>
      <c r="T13" s="1057"/>
      <c r="U13" s="989"/>
    </row>
    <row r="14" spans="1:29">
      <c r="A14" s="433" t="s">
        <v>672</v>
      </c>
      <c r="B14" s="434" t="s">
        <v>588</v>
      </c>
      <c r="C14" s="405">
        <v>3</v>
      </c>
      <c r="D14" s="453"/>
      <c r="E14" s="454"/>
      <c r="F14" s="459"/>
      <c r="G14" s="454"/>
      <c r="H14" s="454"/>
      <c r="I14" s="381"/>
      <c r="J14" s="975"/>
      <c r="K14" s="459"/>
      <c r="L14" s="454"/>
      <c r="M14" s="459"/>
      <c r="N14" s="454"/>
      <c r="O14" s="457"/>
      <c r="P14" s="458"/>
      <c r="Q14" s="381">
        <f t="shared" ref="Q14:Q77" si="1">ROUND(SUM(D14,F14,-K14,-M14),2)</f>
        <v>0</v>
      </c>
      <c r="R14" s="390">
        <f t="shared" ref="R14:R77" si="2">+E14+G14-N14</f>
        <v>0</v>
      </c>
      <c r="S14" s="454"/>
      <c r="T14" s="1058"/>
      <c r="U14" s="983"/>
    </row>
    <row r="15" spans="1:29">
      <c r="A15" s="433" t="s">
        <v>673</v>
      </c>
      <c r="B15" s="434" t="s">
        <v>589</v>
      </c>
      <c r="C15" s="405">
        <v>4</v>
      </c>
      <c r="D15" s="453"/>
      <c r="E15" s="454"/>
      <c r="F15" s="459"/>
      <c r="G15" s="454"/>
      <c r="H15" s="454"/>
      <c r="I15" s="381"/>
      <c r="J15" s="975"/>
      <c r="K15" s="459"/>
      <c r="L15" s="454"/>
      <c r="M15" s="459"/>
      <c r="N15" s="454"/>
      <c r="O15" s="459"/>
      <c r="P15" s="454"/>
      <c r="Q15" s="381">
        <f t="shared" si="1"/>
        <v>0</v>
      </c>
      <c r="R15" s="390">
        <f t="shared" si="2"/>
        <v>0</v>
      </c>
      <c r="S15" s="454"/>
      <c r="T15" s="1058"/>
      <c r="U15" s="983"/>
    </row>
    <row r="16" spans="1:29">
      <c r="A16" s="433" t="s">
        <v>674</v>
      </c>
      <c r="B16" s="434" t="s">
        <v>172</v>
      </c>
      <c r="C16" s="405">
        <v>5</v>
      </c>
      <c r="D16" s="453"/>
      <c r="E16" s="454"/>
      <c r="F16" s="459"/>
      <c r="G16" s="454"/>
      <c r="H16" s="454"/>
      <c r="I16" s="381"/>
      <c r="J16" s="975"/>
      <c r="K16" s="459"/>
      <c r="L16" s="454"/>
      <c r="M16" s="459"/>
      <c r="N16" s="454"/>
      <c r="O16" s="459"/>
      <c r="P16" s="454"/>
      <c r="Q16" s="381">
        <f t="shared" si="1"/>
        <v>0</v>
      </c>
      <c r="R16" s="390">
        <f t="shared" si="2"/>
        <v>0</v>
      </c>
      <c r="S16" s="454"/>
      <c r="T16" s="1058"/>
      <c r="U16" s="983"/>
    </row>
    <row r="17" spans="1:21">
      <c r="A17" s="433" t="s">
        <v>675</v>
      </c>
      <c r="B17" s="434" t="s">
        <v>590</v>
      </c>
      <c r="C17" s="405">
        <v>6</v>
      </c>
      <c r="D17" s="453"/>
      <c r="E17" s="454"/>
      <c r="F17" s="460"/>
      <c r="G17" s="461"/>
      <c r="H17" s="454"/>
      <c r="I17" s="1054"/>
      <c r="J17" s="976"/>
      <c r="K17" s="460"/>
      <c r="L17" s="461"/>
      <c r="M17" s="460"/>
      <c r="N17" s="461"/>
      <c r="O17" s="459"/>
      <c r="P17" s="454"/>
      <c r="Q17" s="381">
        <f t="shared" si="1"/>
        <v>0</v>
      </c>
      <c r="R17" s="390">
        <f>+E17+G17-N17</f>
        <v>0</v>
      </c>
      <c r="S17" s="454"/>
      <c r="T17" s="1059"/>
      <c r="U17" s="984"/>
    </row>
    <row r="18" spans="1:21">
      <c r="A18" s="435" t="s">
        <v>676</v>
      </c>
      <c r="B18" s="436" t="s">
        <v>591</v>
      </c>
      <c r="C18" s="406">
        <v>7</v>
      </c>
      <c r="D18" s="455"/>
      <c r="E18" s="456"/>
      <c r="F18" s="459"/>
      <c r="G18" s="454"/>
      <c r="H18" s="1515" t="s">
        <v>587</v>
      </c>
      <c r="I18" s="1532"/>
      <c r="J18" s="1533"/>
      <c r="K18" s="459"/>
      <c r="L18" s="462"/>
      <c r="M18" s="459"/>
      <c r="N18" s="454"/>
      <c r="O18" s="379">
        <f>K18+M18</f>
        <v>0</v>
      </c>
      <c r="P18" s="1054">
        <f>L18+N18</f>
        <v>0</v>
      </c>
      <c r="Q18" s="381">
        <f t="shared" si="1"/>
        <v>0</v>
      </c>
      <c r="R18" s="390">
        <f>+E18+G18-N18</f>
        <v>0</v>
      </c>
      <c r="S18" s="1514" t="s">
        <v>587</v>
      </c>
      <c r="T18" s="1515"/>
      <c r="U18" s="1516"/>
    </row>
    <row r="19" spans="1:21">
      <c r="A19" s="437">
        <v>1</v>
      </c>
      <c r="B19" s="438" t="s">
        <v>677</v>
      </c>
      <c r="C19" s="407">
        <v>8</v>
      </c>
      <c r="D19" s="415">
        <f>+D20+D22+D26+D28+D30+D32</f>
        <v>0</v>
      </c>
      <c r="E19" s="391">
        <f>+E20+E22+E26+E28+E30+E32</f>
        <v>0</v>
      </c>
      <c r="F19" s="382">
        <f>+F20+F22+F26+F28+F30+F32</f>
        <v>0</v>
      </c>
      <c r="G19" s="391">
        <f>+G20+G22+G26+G28+G30+G32</f>
        <v>0</v>
      </c>
      <c r="H19" s="1070" t="str">
        <f ca="1">IFERROR(SUM(H21,H23:H25,H27,H29,H31,H33:H35)/SUM(COUNTIF(INDIRECT({"H21","H23:H25","H27","H29","H31","H33:H35"}),"&gt;0")),"")</f>
        <v/>
      </c>
      <c r="I19" s="382">
        <f>+I20+I22+I26+I28+I30+I32</f>
        <v>0</v>
      </c>
      <c r="J19" s="977" t="e">
        <f>+I19/F19</f>
        <v>#DIV/0!</v>
      </c>
      <c r="K19" s="382">
        <f>+K20+K22+K26+K28+K30+K32</f>
        <v>0</v>
      </c>
      <c r="L19" s="391">
        <f>+L20+L22+L26+L28+L30+L32</f>
        <v>0</v>
      </c>
      <c r="M19" s="382">
        <f>+M20+M22+M26+M28+M30+M32</f>
        <v>0</v>
      </c>
      <c r="N19" s="399">
        <f>+N20+N22+N26+N28+N30+N32</f>
        <v>0</v>
      </c>
      <c r="O19" s="1520"/>
      <c r="P19" s="1521"/>
      <c r="Q19" s="376">
        <f t="shared" si="1"/>
        <v>0</v>
      </c>
      <c r="R19" s="391">
        <f t="shared" si="2"/>
        <v>0</v>
      </c>
      <c r="S19" s="391" t="str">
        <f ca="1">IFERROR(SUM(S21,S23:S25,S27,S29,S31,S33:S35)/SUM(COUNTIF(INDIRECT({"S21","S23:S25","S27","S29","S31","S33:S35"}),"&gt;0")),"")</f>
        <v/>
      </c>
      <c r="T19" s="992">
        <f>+T20+T22+T26+T28+T30+T32</f>
        <v>0</v>
      </c>
      <c r="U19" s="981" t="e">
        <f>+(Q21*U21+Q23*U23+Q24*U24+Q25*U25+Q27*U27+Q29*U29+Q31*U31+Q33*U33+Q34*U34+Q35*U35)/Q19</f>
        <v>#DIV/0!</v>
      </c>
    </row>
    <row r="20" spans="1:21">
      <c r="A20" s="439">
        <v>1.1000000000000001</v>
      </c>
      <c r="B20" s="440" t="s">
        <v>678</v>
      </c>
      <c r="C20" s="408">
        <v>9</v>
      </c>
      <c r="D20" s="416">
        <f t="shared" ref="D20:N20" si="3">+D21</f>
        <v>0</v>
      </c>
      <c r="E20" s="392">
        <f t="shared" si="3"/>
        <v>0</v>
      </c>
      <c r="F20" s="383">
        <f t="shared" si="3"/>
        <v>0</v>
      </c>
      <c r="G20" s="392">
        <f t="shared" si="3"/>
        <v>0</v>
      </c>
      <c r="H20" s="392">
        <f t="shared" si="3"/>
        <v>0</v>
      </c>
      <c r="I20" s="383">
        <f t="shared" si="3"/>
        <v>0</v>
      </c>
      <c r="J20" s="978">
        <f t="shared" si="3"/>
        <v>0</v>
      </c>
      <c r="K20" s="383">
        <f t="shared" si="3"/>
        <v>0</v>
      </c>
      <c r="L20" s="392">
        <f t="shared" si="3"/>
        <v>0</v>
      </c>
      <c r="M20" s="383">
        <f t="shared" si="3"/>
        <v>0</v>
      </c>
      <c r="N20" s="400">
        <f t="shared" si="3"/>
        <v>0</v>
      </c>
      <c r="O20" s="1522"/>
      <c r="P20" s="1523"/>
      <c r="Q20" s="377">
        <f t="shared" si="1"/>
        <v>0</v>
      </c>
      <c r="R20" s="392">
        <f t="shared" si="2"/>
        <v>0</v>
      </c>
      <c r="S20" s="393">
        <f t="shared" ref="S20" si="4">+S21</f>
        <v>0</v>
      </c>
      <c r="T20" s="993">
        <f t="shared" ref="T20" si="5">+T21</f>
        <v>0</v>
      </c>
      <c r="U20" s="982">
        <f>+U21</f>
        <v>0</v>
      </c>
    </row>
    <row r="21" spans="1:21">
      <c r="A21" s="441" t="s">
        <v>395</v>
      </c>
      <c r="B21" s="442" t="s">
        <v>679</v>
      </c>
      <c r="C21" s="405">
        <v>10</v>
      </c>
      <c r="D21" s="453"/>
      <c r="E21" s="454"/>
      <c r="F21" s="459"/>
      <c r="G21" s="454"/>
      <c r="H21" s="454"/>
      <c r="I21" s="381">
        <f>+F21*J21</f>
        <v>0</v>
      </c>
      <c r="J21" s="975"/>
      <c r="K21" s="459"/>
      <c r="L21" s="454"/>
      <c r="M21" s="459"/>
      <c r="N21" s="462"/>
      <c r="O21" s="1522"/>
      <c r="P21" s="1523"/>
      <c r="Q21" s="375">
        <f t="shared" si="1"/>
        <v>0</v>
      </c>
      <c r="R21" s="390">
        <f t="shared" si="2"/>
        <v>0</v>
      </c>
      <c r="S21" s="454"/>
      <c r="T21" s="1058">
        <f>+Q21*U21</f>
        <v>0</v>
      </c>
      <c r="U21" s="983"/>
    </row>
    <row r="22" spans="1:21">
      <c r="A22" s="443">
        <v>1.2</v>
      </c>
      <c r="B22" s="444" t="s">
        <v>680</v>
      </c>
      <c r="C22" s="409">
        <v>11</v>
      </c>
      <c r="D22" s="417">
        <f>+SUM(D23:D25)</f>
        <v>0</v>
      </c>
      <c r="E22" s="393">
        <f>+SUM(E23:E25)</f>
        <v>0</v>
      </c>
      <c r="F22" s="384">
        <f>+SUM(F23:F25)</f>
        <v>0</v>
      </c>
      <c r="G22" s="393">
        <f>+SUM(G23:G25)</f>
        <v>0</v>
      </c>
      <c r="H22" s="393" t="str">
        <f>IFERROR(AVERAGE(H23:H25),"")</f>
        <v/>
      </c>
      <c r="I22" s="384">
        <f>+SUM(I23:I25)</f>
        <v>0</v>
      </c>
      <c r="J22" s="979" t="e">
        <f>+(F23*J23+F24*J24+F25*J25)/F22</f>
        <v>#DIV/0!</v>
      </c>
      <c r="K22" s="384">
        <f>+SUM(K23:K25)</f>
        <v>0</v>
      </c>
      <c r="L22" s="393">
        <f>+SUM(L23:L25)</f>
        <v>0</v>
      </c>
      <c r="M22" s="384">
        <f>+SUM(M23:M25)</f>
        <v>0</v>
      </c>
      <c r="N22" s="401">
        <f>+SUM(N23:N25)</f>
        <v>0</v>
      </c>
      <c r="O22" s="1522"/>
      <c r="P22" s="1523"/>
      <c r="Q22" s="378">
        <f t="shared" si="1"/>
        <v>0</v>
      </c>
      <c r="R22" s="393">
        <f t="shared" si="2"/>
        <v>0</v>
      </c>
      <c r="S22" s="393" t="str">
        <f>IFERROR(AVERAGE(S23:S25),"")</f>
        <v/>
      </c>
      <c r="T22" s="993">
        <f>+SUM(T23:T25)</f>
        <v>0</v>
      </c>
      <c r="U22" s="982" t="e">
        <f>+(Q23*U23+Q24*U24+Q25*U25)/Q22</f>
        <v>#DIV/0!</v>
      </c>
    </row>
    <row r="23" spans="1:21">
      <c r="A23" s="441" t="s">
        <v>413</v>
      </c>
      <c r="B23" s="442" t="s">
        <v>681</v>
      </c>
      <c r="C23" s="405">
        <v>12</v>
      </c>
      <c r="D23" s="453"/>
      <c r="E23" s="454"/>
      <c r="F23" s="459"/>
      <c r="G23" s="454"/>
      <c r="H23" s="454"/>
      <c r="I23" s="381">
        <f t="shared" ref="I23:I25" si="6">+F23*J23</f>
        <v>0</v>
      </c>
      <c r="J23" s="975"/>
      <c r="K23" s="459"/>
      <c r="L23" s="454"/>
      <c r="M23" s="459"/>
      <c r="N23" s="462"/>
      <c r="O23" s="1522"/>
      <c r="P23" s="1523"/>
      <c r="Q23" s="375">
        <f t="shared" si="1"/>
        <v>0</v>
      </c>
      <c r="R23" s="390">
        <f t="shared" si="2"/>
        <v>0</v>
      </c>
      <c r="S23" s="454"/>
      <c r="T23" s="1058">
        <f t="shared" ref="T23:T25" si="7">+Q23*U23</f>
        <v>0</v>
      </c>
      <c r="U23" s="983"/>
    </row>
    <row r="24" spans="1:21">
      <c r="A24" s="441" t="s">
        <v>420</v>
      </c>
      <c r="B24" s="442" t="s">
        <v>682</v>
      </c>
      <c r="C24" s="405">
        <v>13</v>
      </c>
      <c r="D24" s="453"/>
      <c r="E24" s="454"/>
      <c r="F24" s="459"/>
      <c r="G24" s="454"/>
      <c r="H24" s="454"/>
      <c r="I24" s="381">
        <f t="shared" si="6"/>
        <v>0</v>
      </c>
      <c r="J24" s="975"/>
      <c r="K24" s="459"/>
      <c r="L24" s="454"/>
      <c r="M24" s="459"/>
      <c r="N24" s="462"/>
      <c r="O24" s="1522"/>
      <c r="P24" s="1523"/>
      <c r="Q24" s="375">
        <f t="shared" si="1"/>
        <v>0</v>
      </c>
      <c r="R24" s="390">
        <f t="shared" si="2"/>
        <v>0</v>
      </c>
      <c r="S24" s="454"/>
      <c r="T24" s="1058">
        <f t="shared" si="7"/>
        <v>0</v>
      </c>
      <c r="U24" s="983"/>
    </row>
    <row r="25" spans="1:21">
      <c r="A25" s="441" t="s">
        <v>422</v>
      </c>
      <c r="B25" s="442" t="s">
        <v>683</v>
      </c>
      <c r="C25" s="405">
        <v>14</v>
      </c>
      <c r="D25" s="453"/>
      <c r="E25" s="454"/>
      <c r="F25" s="459"/>
      <c r="G25" s="454"/>
      <c r="H25" s="454"/>
      <c r="I25" s="381">
        <f t="shared" si="6"/>
        <v>0</v>
      </c>
      <c r="J25" s="975"/>
      <c r="K25" s="459"/>
      <c r="L25" s="454"/>
      <c r="M25" s="459"/>
      <c r="N25" s="462"/>
      <c r="O25" s="1522"/>
      <c r="P25" s="1523"/>
      <c r="Q25" s="375">
        <f t="shared" si="1"/>
        <v>0</v>
      </c>
      <c r="R25" s="390">
        <f t="shared" si="2"/>
        <v>0</v>
      </c>
      <c r="S25" s="454"/>
      <c r="T25" s="1058">
        <f t="shared" si="7"/>
        <v>0</v>
      </c>
      <c r="U25" s="983"/>
    </row>
    <row r="26" spans="1:21">
      <c r="A26" s="443">
        <v>1.3</v>
      </c>
      <c r="B26" s="444" t="s">
        <v>684</v>
      </c>
      <c r="C26" s="409">
        <v>15</v>
      </c>
      <c r="D26" s="417">
        <f t="shared" ref="D26:N26" si="8">+D27</f>
        <v>0</v>
      </c>
      <c r="E26" s="393">
        <f t="shared" si="8"/>
        <v>0</v>
      </c>
      <c r="F26" s="384">
        <f t="shared" si="8"/>
        <v>0</v>
      </c>
      <c r="G26" s="393">
        <f t="shared" si="8"/>
        <v>0</v>
      </c>
      <c r="H26" s="393">
        <f t="shared" si="8"/>
        <v>0</v>
      </c>
      <c r="I26" s="384">
        <f t="shared" si="8"/>
        <v>0</v>
      </c>
      <c r="J26" s="979">
        <f t="shared" si="8"/>
        <v>0</v>
      </c>
      <c r="K26" s="384">
        <f t="shared" si="8"/>
        <v>0</v>
      </c>
      <c r="L26" s="393">
        <f t="shared" si="8"/>
        <v>0</v>
      </c>
      <c r="M26" s="384">
        <f t="shared" si="8"/>
        <v>0</v>
      </c>
      <c r="N26" s="401">
        <f t="shared" si="8"/>
        <v>0</v>
      </c>
      <c r="O26" s="1522"/>
      <c r="P26" s="1523"/>
      <c r="Q26" s="378">
        <f t="shared" si="1"/>
        <v>0</v>
      </c>
      <c r="R26" s="393">
        <f t="shared" si="2"/>
        <v>0</v>
      </c>
      <c r="S26" s="393">
        <f>+S27</f>
        <v>0</v>
      </c>
      <c r="T26" s="993">
        <f t="shared" ref="T26" si="9">+T27</f>
        <v>0</v>
      </c>
      <c r="U26" s="982">
        <f>+U27</f>
        <v>0</v>
      </c>
    </row>
    <row r="27" spans="1:21" ht="25.5">
      <c r="A27" s="441" t="s">
        <v>444</v>
      </c>
      <c r="B27" s="442" t="s">
        <v>685</v>
      </c>
      <c r="C27" s="405">
        <v>16</v>
      </c>
      <c r="D27" s="453"/>
      <c r="E27" s="454"/>
      <c r="F27" s="459"/>
      <c r="G27" s="454"/>
      <c r="H27" s="454"/>
      <c r="I27" s="381">
        <f>+F27*J27</f>
        <v>0</v>
      </c>
      <c r="J27" s="975"/>
      <c r="K27" s="459"/>
      <c r="L27" s="454"/>
      <c r="M27" s="459"/>
      <c r="N27" s="462"/>
      <c r="O27" s="1522"/>
      <c r="P27" s="1523"/>
      <c r="Q27" s="375">
        <f t="shared" si="1"/>
        <v>0</v>
      </c>
      <c r="R27" s="390">
        <f t="shared" si="2"/>
        <v>0</v>
      </c>
      <c r="S27" s="454"/>
      <c r="T27" s="1058">
        <f>+Q27*U27</f>
        <v>0</v>
      </c>
      <c r="U27" s="983"/>
    </row>
    <row r="28" spans="1:21">
      <c r="A28" s="443">
        <v>1.4</v>
      </c>
      <c r="B28" s="444" t="s">
        <v>686</v>
      </c>
      <c r="C28" s="409">
        <v>17</v>
      </c>
      <c r="D28" s="417">
        <f t="shared" ref="D28:N28" si="10">+D29</f>
        <v>0</v>
      </c>
      <c r="E28" s="393">
        <f t="shared" si="10"/>
        <v>0</v>
      </c>
      <c r="F28" s="384">
        <f t="shared" si="10"/>
        <v>0</v>
      </c>
      <c r="G28" s="393">
        <f t="shared" si="10"/>
        <v>0</v>
      </c>
      <c r="H28" s="393">
        <f t="shared" si="10"/>
        <v>0</v>
      </c>
      <c r="I28" s="384">
        <f t="shared" si="10"/>
        <v>0</v>
      </c>
      <c r="J28" s="979">
        <f t="shared" si="10"/>
        <v>0</v>
      </c>
      <c r="K28" s="384">
        <f t="shared" si="10"/>
        <v>0</v>
      </c>
      <c r="L28" s="393">
        <f t="shared" si="10"/>
        <v>0</v>
      </c>
      <c r="M28" s="384">
        <f t="shared" si="10"/>
        <v>0</v>
      </c>
      <c r="N28" s="401">
        <f t="shared" si="10"/>
        <v>0</v>
      </c>
      <c r="O28" s="1522"/>
      <c r="P28" s="1523"/>
      <c r="Q28" s="378">
        <f t="shared" si="1"/>
        <v>0</v>
      </c>
      <c r="R28" s="393">
        <f t="shared" si="2"/>
        <v>0</v>
      </c>
      <c r="S28" s="393">
        <f>+S29</f>
        <v>0</v>
      </c>
      <c r="T28" s="993">
        <f t="shared" ref="T28" si="11">+T29</f>
        <v>0</v>
      </c>
      <c r="U28" s="982">
        <f>+U29</f>
        <v>0</v>
      </c>
    </row>
    <row r="29" spans="1:21">
      <c r="A29" s="441" t="s">
        <v>467</v>
      </c>
      <c r="B29" s="442" t="s">
        <v>687</v>
      </c>
      <c r="C29" s="405">
        <v>18</v>
      </c>
      <c r="D29" s="453"/>
      <c r="E29" s="454"/>
      <c r="F29" s="459"/>
      <c r="G29" s="454"/>
      <c r="H29" s="454"/>
      <c r="I29" s="381">
        <f>+F29*J29</f>
        <v>0</v>
      </c>
      <c r="J29" s="975"/>
      <c r="K29" s="459"/>
      <c r="L29" s="454"/>
      <c r="M29" s="459"/>
      <c r="N29" s="462"/>
      <c r="O29" s="1522"/>
      <c r="P29" s="1523"/>
      <c r="Q29" s="375">
        <f t="shared" si="1"/>
        <v>0</v>
      </c>
      <c r="R29" s="390">
        <f t="shared" si="2"/>
        <v>0</v>
      </c>
      <c r="S29" s="454"/>
      <c r="T29" s="1058">
        <f>+Q29*U29</f>
        <v>0</v>
      </c>
      <c r="U29" s="983"/>
    </row>
    <row r="30" spans="1:21">
      <c r="A30" s="443">
        <v>1.5</v>
      </c>
      <c r="B30" s="444" t="s">
        <v>211</v>
      </c>
      <c r="C30" s="409">
        <v>19</v>
      </c>
      <c r="D30" s="417">
        <f t="shared" ref="D30:N30" si="12">+D31</f>
        <v>0</v>
      </c>
      <c r="E30" s="393">
        <f t="shared" si="12"/>
        <v>0</v>
      </c>
      <c r="F30" s="384">
        <f t="shared" si="12"/>
        <v>0</v>
      </c>
      <c r="G30" s="393">
        <f t="shared" si="12"/>
        <v>0</v>
      </c>
      <c r="H30" s="393">
        <f t="shared" si="12"/>
        <v>0</v>
      </c>
      <c r="I30" s="384">
        <f t="shared" si="12"/>
        <v>0</v>
      </c>
      <c r="J30" s="979">
        <f t="shared" si="12"/>
        <v>0</v>
      </c>
      <c r="K30" s="384">
        <f t="shared" si="12"/>
        <v>0</v>
      </c>
      <c r="L30" s="393">
        <f t="shared" si="12"/>
        <v>0</v>
      </c>
      <c r="M30" s="384">
        <f t="shared" si="12"/>
        <v>0</v>
      </c>
      <c r="N30" s="401">
        <f t="shared" si="12"/>
        <v>0</v>
      </c>
      <c r="O30" s="1522"/>
      <c r="P30" s="1523"/>
      <c r="Q30" s="378">
        <f t="shared" si="1"/>
        <v>0</v>
      </c>
      <c r="R30" s="393">
        <f t="shared" si="2"/>
        <v>0</v>
      </c>
      <c r="S30" s="393">
        <f>+S31</f>
        <v>0</v>
      </c>
      <c r="T30" s="993">
        <f t="shared" ref="T30" si="13">+T31</f>
        <v>0</v>
      </c>
      <c r="U30" s="982">
        <f>+U31</f>
        <v>0</v>
      </c>
    </row>
    <row r="31" spans="1:21">
      <c r="A31" s="441" t="s">
        <v>688</v>
      </c>
      <c r="B31" s="442" t="s">
        <v>689</v>
      </c>
      <c r="C31" s="405">
        <v>20</v>
      </c>
      <c r="D31" s="453"/>
      <c r="E31" s="454"/>
      <c r="F31" s="459"/>
      <c r="G31" s="454"/>
      <c r="H31" s="454"/>
      <c r="I31" s="381">
        <f>+F31*J31</f>
        <v>0</v>
      </c>
      <c r="J31" s="975"/>
      <c r="K31" s="459"/>
      <c r="L31" s="454"/>
      <c r="M31" s="459"/>
      <c r="N31" s="462"/>
      <c r="O31" s="1522"/>
      <c r="P31" s="1523"/>
      <c r="Q31" s="375">
        <f t="shared" si="1"/>
        <v>0</v>
      </c>
      <c r="R31" s="390">
        <f t="shared" si="2"/>
        <v>0</v>
      </c>
      <c r="S31" s="454"/>
      <c r="T31" s="1058">
        <f>+Q31*U31</f>
        <v>0</v>
      </c>
      <c r="U31" s="983"/>
    </row>
    <row r="32" spans="1:21" ht="25.5">
      <c r="A32" s="443">
        <v>1.6</v>
      </c>
      <c r="B32" s="444" t="s">
        <v>690</v>
      </c>
      <c r="C32" s="409">
        <v>21</v>
      </c>
      <c r="D32" s="417">
        <f>+SUM(D33:D35)</f>
        <v>0</v>
      </c>
      <c r="E32" s="393">
        <f>+SUM(E33:E35)</f>
        <v>0</v>
      </c>
      <c r="F32" s="384">
        <f>+SUM(F33:F35)</f>
        <v>0</v>
      </c>
      <c r="G32" s="393">
        <f>+SUM(G33:G35)</f>
        <v>0</v>
      </c>
      <c r="H32" s="393" t="str">
        <f>IFERROR(AVERAGE(H23:H25),"")</f>
        <v/>
      </c>
      <c r="I32" s="384">
        <f>+SUM(I33:I35)</f>
        <v>0</v>
      </c>
      <c r="J32" s="979" t="e">
        <f>+(F33*J33+F34*J34+F35*J35)/F32</f>
        <v>#DIV/0!</v>
      </c>
      <c r="K32" s="384">
        <f>+SUM(K33:K35)</f>
        <v>0</v>
      </c>
      <c r="L32" s="393">
        <f>+SUM(L33:L35)</f>
        <v>0</v>
      </c>
      <c r="M32" s="384">
        <f>+SUM(M33:M35)</f>
        <v>0</v>
      </c>
      <c r="N32" s="401">
        <f>+SUM(N33:N35)</f>
        <v>0</v>
      </c>
      <c r="O32" s="1522"/>
      <c r="P32" s="1523"/>
      <c r="Q32" s="378">
        <f t="shared" si="1"/>
        <v>0</v>
      </c>
      <c r="R32" s="393">
        <f t="shared" si="2"/>
        <v>0</v>
      </c>
      <c r="S32" s="393" t="str">
        <f>IFERROR(AVERAGE(S23:S25),"")</f>
        <v/>
      </c>
      <c r="T32" s="993">
        <f>+SUM(T33:T35)</f>
        <v>0</v>
      </c>
      <c r="U32" s="982" t="e">
        <f>+(Q33*U33+Q34*U34+Q35*U35)/Q32</f>
        <v>#DIV/0!</v>
      </c>
    </row>
    <row r="33" spans="1:21" ht="25.5">
      <c r="A33" s="441" t="s">
        <v>691</v>
      </c>
      <c r="B33" s="442" t="s">
        <v>692</v>
      </c>
      <c r="C33" s="405">
        <v>22</v>
      </c>
      <c r="D33" s="453"/>
      <c r="E33" s="454"/>
      <c r="F33" s="459"/>
      <c r="G33" s="454"/>
      <c r="H33" s="454"/>
      <c r="I33" s="381">
        <f t="shared" ref="I33:I35" si="14">+F33*J33</f>
        <v>0</v>
      </c>
      <c r="J33" s="975"/>
      <c r="K33" s="459"/>
      <c r="L33" s="454"/>
      <c r="M33" s="459"/>
      <c r="N33" s="462"/>
      <c r="O33" s="1522"/>
      <c r="P33" s="1523"/>
      <c r="Q33" s="375">
        <f t="shared" si="1"/>
        <v>0</v>
      </c>
      <c r="R33" s="390">
        <f t="shared" si="2"/>
        <v>0</v>
      </c>
      <c r="S33" s="454"/>
      <c r="T33" s="1058">
        <f t="shared" ref="T33:T35" si="15">+Q33*U33</f>
        <v>0</v>
      </c>
      <c r="U33" s="983"/>
    </row>
    <row r="34" spans="1:21" ht="25.5">
      <c r="A34" s="441" t="s">
        <v>693</v>
      </c>
      <c r="B34" s="442" t="s">
        <v>694</v>
      </c>
      <c r="C34" s="405">
        <v>23</v>
      </c>
      <c r="D34" s="453"/>
      <c r="E34" s="454"/>
      <c r="F34" s="459"/>
      <c r="G34" s="454"/>
      <c r="H34" s="454"/>
      <c r="I34" s="381">
        <f t="shared" si="14"/>
        <v>0</v>
      </c>
      <c r="J34" s="975"/>
      <c r="K34" s="459"/>
      <c r="L34" s="454"/>
      <c r="M34" s="459"/>
      <c r="N34" s="462"/>
      <c r="O34" s="1522"/>
      <c r="P34" s="1523"/>
      <c r="Q34" s="375">
        <f t="shared" si="1"/>
        <v>0</v>
      </c>
      <c r="R34" s="390">
        <f t="shared" si="2"/>
        <v>0</v>
      </c>
      <c r="S34" s="454"/>
      <c r="T34" s="1058">
        <f t="shared" si="15"/>
        <v>0</v>
      </c>
      <c r="U34" s="983"/>
    </row>
    <row r="35" spans="1:21">
      <c r="A35" s="441" t="s">
        <v>695</v>
      </c>
      <c r="B35" s="445" t="s">
        <v>696</v>
      </c>
      <c r="C35" s="410">
        <v>24</v>
      </c>
      <c r="D35" s="463"/>
      <c r="E35" s="461"/>
      <c r="F35" s="460"/>
      <c r="G35" s="461"/>
      <c r="H35" s="461"/>
      <c r="I35" s="381">
        <f t="shared" si="14"/>
        <v>0</v>
      </c>
      <c r="J35" s="976"/>
      <c r="K35" s="460"/>
      <c r="L35" s="461"/>
      <c r="M35" s="460"/>
      <c r="N35" s="464"/>
      <c r="O35" s="1522"/>
      <c r="P35" s="1523"/>
      <c r="Q35" s="379">
        <f t="shared" si="1"/>
        <v>0</v>
      </c>
      <c r="R35" s="394">
        <f t="shared" si="2"/>
        <v>0</v>
      </c>
      <c r="S35" s="461"/>
      <c r="T35" s="1059">
        <f t="shared" si="15"/>
        <v>0</v>
      </c>
      <c r="U35" s="984"/>
    </row>
    <row r="36" spans="1:21">
      <c r="A36" s="446">
        <v>2</v>
      </c>
      <c r="B36" s="438" t="s">
        <v>697</v>
      </c>
      <c r="C36" s="411">
        <v>25</v>
      </c>
      <c r="D36" s="415">
        <f>+D37+D40+D42+D44</f>
        <v>0</v>
      </c>
      <c r="E36" s="391">
        <f>+E37+E40+E42+E44</f>
        <v>0</v>
      </c>
      <c r="F36" s="382">
        <f>+F37+F40+F42+F44</f>
        <v>0</v>
      </c>
      <c r="G36" s="391">
        <f>+G37+G40+G42+G44</f>
        <v>0</v>
      </c>
      <c r="H36" s="1070" t="str">
        <f ca="1">IFERROR(SUM(H38:H39,H41,H43,H45:H46)/SUM(COUNTIF(INDIRECT({"H38:H39","H41","H43","H45:H46"}),"&gt;0")),"")</f>
        <v/>
      </c>
      <c r="I36" s="382">
        <f>+I37+I40+I42+I44</f>
        <v>0</v>
      </c>
      <c r="J36" s="977" t="e">
        <f>+I36/F36</f>
        <v>#DIV/0!</v>
      </c>
      <c r="K36" s="382">
        <f>+K37+K40+K42+K44</f>
        <v>0</v>
      </c>
      <c r="L36" s="391">
        <f>+L37+L40+L42+L44</f>
        <v>0</v>
      </c>
      <c r="M36" s="382">
        <f>+M37+M40+M42+M44</f>
        <v>0</v>
      </c>
      <c r="N36" s="399">
        <f>+N37+N40+N42+N44</f>
        <v>0</v>
      </c>
      <c r="O36" s="1522"/>
      <c r="P36" s="1523"/>
      <c r="Q36" s="376">
        <f t="shared" si="1"/>
        <v>0</v>
      </c>
      <c r="R36" s="391">
        <f t="shared" si="2"/>
        <v>0</v>
      </c>
      <c r="S36" s="391" t="str">
        <f ca="1">IFERROR(SUM(S38:S39,S41,S43,S45:S46)/SUM(COUNTIF(INDIRECT({"S38:S39","S41","S43","S45:SH46"}),"&gt;0")),"")</f>
        <v/>
      </c>
      <c r="T36" s="992">
        <f>+T37+T40+T42+T44</f>
        <v>0</v>
      </c>
      <c r="U36" s="981" t="e">
        <f>+(Q38*U38+Q39*U39+Q41*U41+Q43*U43+Q45*U45+Q46*U46)/Q36</f>
        <v>#DIV/0!</v>
      </c>
    </row>
    <row r="37" spans="1:21">
      <c r="A37" s="443">
        <v>2.1</v>
      </c>
      <c r="B37" s="440" t="s">
        <v>698</v>
      </c>
      <c r="C37" s="408">
        <v>26</v>
      </c>
      <c r="D37" s="416">
        <f>+SUM(D38:D39)</f>
        <v>0</v>
      </c>
      <c r="E37" s="392">
        <f>+SUM(E38:E39)</f>
        <v>0</v>
      </c>
      <c r="F37" s="383">
        <f>+SUM(F38:F39)</f>
        <v>0</v>
      </c>
      <c r="G37" s="392">
        <f>+SUM(G38:G39)</f>
        <v>0</v>
      </c>
      <c r="H37" s="392" t="str">
        <f>IFERROR(AVERAGE(H38:H39),"")</f>
        <v/>
      </c>
      <c r="I37" s="383">
        <f>+SUM(I38:I39)</f>
        <v>0</v>
      </c>
      <c r="J37" s="978" t="e">
        <f>+(F38*J38+F39*J39)/F37</f>
        <v>#DIV/0!</v>
      </c>
      <c r="K37" s="383">
        <f>+SUM(K38:K39)</f>
        <v>0</v>
      </c>
      <c r="L37" s="392">
        <f>+SUM(L38:L39)</f>
        <v>0</v>
      </c>
      <c r="M37" s="383">
        <f>+SUM(M38:M39)</f>
        <v>0</v>
      </c>
      <c r="N37" s="400">
        <f>+SUM(N38:N39)</f>
        <v>0</v>
      </c>
      <c r="O37" s="1522"/>
      <c r="P37" s="1523"/>
      <c r="Q37" s="377">
        <f t="shared" si="1"/>
        <v>0</v>
      </c>
      <c r="R37" s="392">
        <f t="shared" si="2"/>
        <v>0</v>
      </c>
      <c r="S37" s="392" t="str">
        <f>IFERROR(AVERAGE(S38:S39),"")</f>
        <v/>
      </c>
      <c r="T37" s="994">
        <f>+SUM(T38:T39)</f>
        <v>0</v>
      </c>
      <c r="U37" s="985" t="e">
        <f>+(Q38*U38+Q39*U39)/Q37</f>
        <v>#DIV/0!</v>
      </c>
    </row>
    <row r="38" spans="1:21">
      <c r="A38" s="441" t="s">
        <v>397</v>
      </c>
      <c r="B38" s="442" t="s">
        <v>699</v>
      </c>
      <c r="C38" s="405">
        <v>27</v>
      </c>
      <c r="D38" s="453"/>
      <c r="E38" s="454"/>
      <c r="F38" s="459"/>
      <c r="G38" s="454"/>
      <c r="H38" s="454"/>
      <c r="I38" s="381">
        <f t="shared" ref="I38:I39" si="16">+F38*J38</f>
        <v>0</v>
      </c>
      <c r="J38" s="975"/>
      <c r="K38" s="459"/>
      <c r="L38" s="454"/>
      <c r="M38" s="459"/>
      <c r="N38" s="462"/>
      <c r="O38" s="1522"/>
      <c r="P38" s="1523"/>
      <c r="Q38" s="375">
        <f t="shared" si="1"/>
        <v>0</v>
      </c>
      <c r="R38" s="390">
        <f t="shared" si="2"/>
        <v>0</v>
      </c>
      <c r="S38" s="454"/>
      <c r="T38" s="1058">
        <f t="shared" ref="T38:T39" si="17">+Q38*U38</f>
        <v>0</v>
      </c>
      <c r="U38" s="983"/>
    </row>
    <row r="39" spans="1:21">
      <c r="A39" s="441" t="s">
        <v>700</v>
      </c>
      <c r="B39" s="442" t="s">
        <v>701</v>
      </c>
      <c r="C39" s="405">
        <v>28</v>
      </c>
      <c r="D39" s="453"/>
      <c r="E39" s="454"/>
      <c r="F39" s="459"/>
      <c r="G39" s="454"/>
      <c r="H39" s="454"/>
      <c r="I39" s="381">
        <f t="shared" si="16"/>
        <v>0</v>
      </c>
      <c r="J39" s="975"/>
      <c r="K39" s="459"/>
      <c r="L39" s="454"/>
      <c r="M39" s="459"/>
      <c r="N39" s="462"/>
      <c r="O39" s="1522"/>
      <c r="P39" s="1523"/>
      <c r="Q39" s="375">
        <f t="shared" si="1"/>
        <v>0</v>
      </c>
      <c r="R39" s="390">
        <f t="shared" si="2"/>
        <v>0</v>
      </c>
      <c r="S39" s="454"/>
      <c r="T39" s="1058">
        <f t="shared" si="17"/>
        <v>0</v>
      </c>
      <c r="U39" s="983"/>
    </row>
    <row r="40" spans="1:21">
      <c r="A40" s="443">
        <v>2.2000000000000002</v>
      </c>
      <c r="B40" s="444" t="s">
        <v>702</v>
      </c>
      <c r="C40" s="409">
        <v>29</v>
      </c>
      <c r="D40" s="417">
        <f t="shared" ref="D40:N40" si="18">+D41</f>
        <v>0</v>
      </c>
      <c r="E40" s="393">
        <f t="shared" si="18"/>
        <v>0</v>
      </c>
      <c r="F40" s="384">
        <f t="shared" si="18"/>
        <v>0</v>
      </c>
      <c r="G40" s="393">
        <f t="shared" si="18"/>
        <v>0</v>
      </c>
      <c r="H40" s="393">
        <f t="shared" si="18"/>
        <v>0</v>
      </c>
      <c r="I40" s="384">
        <f t="shared" si="18"/>
        <v>0</v>
      </c>
      <c r="J40" s="979">
        <f t="shared" si="18"/>
        <v>0</v>
      </c>
      <c r="K40" s="384">
        <f t="shared" si="18"/>
        <v>0</v>
      </c>
      <c r="L40" s="393">
        <f t="shared" si="18"/>
        <v>0</v>
      </c>
      <c r="M40" s="384">
        <f t="shared" si="18"/>
        <v>0</v>
      </c>
      <c r="N40" s="401">
        <f t="shared" si="18"/>
        <v>0</v>
      </c>
      <c r="O40" s="1522"/>
      <c r="P40" s="1523"/>
      <c r="Q40" s="378">
        <f t="shared" si="1"/>
        <v>0</v>
      </c>
      <c r="R40" s="393">
        <f t="shared" si="2"/>
        <v>0</v>
      </c>
      <c r="S40" s="393">
        <f>+S41</f>
        <v>0</v>
      </c>
      <c r="T40" s="993">
        <f t="shared" ref="T40" si="19">+T41</f>
        <v>0</v>
      </c>
      <c r="U40" s="982">
        <f>+U41</f>
        <v>0</v>
      </c>
    </row>
    <row r="41" spans="1:21">
      <c r="A41" s="441" t="s">
        <v>424</v>
      </c>
      <c r="B41" s="442" t="s">
        <v>703</v>
      </c>
      <c r="C41" s="405">
        <v>30</v>
      </c>
      <c r="D41" s="453"/>
      <c r="E41" s="454"/>
      <c r="F41" s="459"/>
      <c r="G41" s="454"/>
      <c r="H41" s="454"/>
      <c r="I41" s="381">
        <f>+F41*J41</f>
        <v>0</v>
      </c>
      <c r="J41" s="975"/>
      <c r="K41" s="459"/>
      <c r="L41" s="454"/>
      <c r="M41" s="459"/>
      <c r="N41" s="462"/>
      <c r="O41" s="1522"/>
      <c r="P41" s="1523"/>
      <c r="Q41" s="375">
        <f t="shared" si="1"/>
        <v>0</v>
      </c>
      <c r="R41" s="390">
        <f t="shared" si="2"/>
        <v>0</v>
      </c>
      <c r="S41" s="454"/>
      <c r="T41" s="1058">
        <f>+Q41*U41</f>
        <v>0</v>
      </c>
      <c r="U41" s="983"/>
    </row>
    <row r="42" spans="1:21">
      <c r="A42" s="443">
        <v>2.2999999999999998</v>
      </c>
      <c r="B42" s="444" t="s">
        <v>704</v>
      </c>
      <c r="C42" s="409">
        <v>31</v>
      </c>
      <c r="D42" s="417">
        <f t="shared" ref="D42:N42" si="20">+D43</f>
        <v>0</v>
      </c>
      <c r="E42" s="393">
        <f t="shared" si="20"/>
        <v>0</v>
      </c>
      <c r="F42" s="384">
        <f t="shared" si="20"/>
        <v>0</v>
      </c>
      <c r="G42" s="393">
        <f t="shared" si="20"/>
        <v>0</v>
      </c>
      <c r="H42" s="393">
        <f t="shared" si="20"/>
        <v>0</v>
      </c>
      <c r="I42" s="384">
        <f t="shared" si="20"/>
        <v>0</v>
      </c>
      <c r="J42" s="979">
        <f t="shared" si="20"/>
        <v>0</v>
      </c>
      <c r="K42" s="384">
        <f t="shared" si="20"/>
        <v>0</v>
      </c>
      <c r="L42" s="393">
        <f t="shared" si="20"/>
        <v>0</v>
      </c>
      <c r="M42" s="384">
        <f t="shared" si="20"/>
        <v>0</v>
      </c>
      <c r="N42" s="401">
        <f t="shared" si="20"/>
        <v>0</v>
      </c>
      <c r="O42" s="1522"/>
      <c r="P42" s="1523"/>
      <c r="Q42" s="378">
        <f t="shared" si="1"/>
        <v>0</v>
      </c>
      <c r="R42" s="393">
        <f t="shared" si="2"/>
        <v>0</v>
      </c>
      <c r="S42" s="393">
        <f>+S43</f>
        <v>0</v>
      </c>
      <c r="T42" s="993">
        <f t="shared" ref="T42" si="21">+T43</f>
        <v>0</v>
      </c>
      <c r="U42" s="982">
        <f>+U43</f>
        <v>0</v>
      </c>
    </row>
    <row r="43" spans="1:21" ht="25.5">
      <c r="A43" s="441" t="s">
        <v>458</v>
      </c>
      <c r="B43" s="442" t="s">
        <v>705</v>
      </c>
      <c r="C43" s="405">
        <v>32</v>
      </c>
      <c r="D43" s="453"/>
      <c r="E43" s="454"/>
      <c r="F43" s="459"/>
      <c r="G43" s="454"/>
      <c r="H43" s="454"/>
      <c r="I43" s="381">
        <f>+F43*J43</f>
        <v>0</v>
      </c>
      <c r="J43" s="975"/>
      <c r="K43" s="459"/>
      <c r="L43" s="454"/>
      <c r="M43" s="459"/>
      <c r="N43" s="462"/>
      <c r="O43" s="1522"/>
      <c r="P43" s="1523"/>
      <c r="Q43" s="375">
        <f t="shared" si="1"/>
        <v>0</v>
      </c>
      <c r="R43" s="390">
        <f t="shared" si="2"/>
        <v>0</v>
      </c>
      <c r="S43" s="454"/>
      <c r="T43" s="1058">
        <f>+Q43*U43</f>
        <v>0</v>
      </c>
      <c r="U43" s="983"/>
    </row>
    <row r="44" spans="1:21">
      <c r="A44" s="443">
        <v>2.4</v>
      </c>
      <c r="B44" s="444" t="s">
        <v>706</v>
      </c>
      <c r="C44" s="409">
        <v>33</v>
      </c>
      <c r="D44" s="417">
        <f>+SUM(D45:D46)</f>
        <v>0</v>
      </c>
      <c r="E44" s="393">
        <f>+SUM(E45:E46)</f>
        <v>0</v>
      </c>
      <c r="F44" s="384">
        <f>+SUM(F45:F46)</f>
        <v>0</v>
      </c>
      <c r="G44" s="393">
        <f>+SUM(G45:G46)</f>
        <v>0</v>
      </c>
      <c r="H44" s="392" t="str">
        <f>IFERROR(AVERAGE(H45:H46),"")</f>
        <v/>
      </c>
      <c r="I44" s="384">
        <f>+SUM(I45:I46)</f>
        <v>0</v>
      </c>
      <c r="J44" s="979" t="e">
        <f>+(F45*J45+F46*J46)/F44</f>
        <v>#DIV/0!</v>
      </c>
      <c r="K44" s="384">
        <f>+SUM(K45:K46)</f>
        <v>0</v>
      </c>
      <c r="L44" s="393">
        <f>+SUM(L45:L46)</f>
        <v>0</v>
      </c>
      <c r="M44" s="384">
        <f>+SUM(M45:M46)</f>
        <v>0</v>
      </c>
      <c r="N44" s="401">
        <f>+SUM(N45:N46)</f>
        <v>0</v>
      </c>
      <c r="O44" s="1522"/>
      <c r="P44" s="1523"/>
      <c r="Q44" s="378">
        <f t="shared" si="1"/>
        <v>0</v>
      </c>
      <c r="R44" s="393">
        <f t="shared" si="2"/>
        <v>0</v>
      </c>
      <c r="S44" s="393" t="str">
        <f>IFERROR(AVERAGE(S45:S46),"")</f>
        <v/>
      </c>
      <c r="T44" s="993">
        <f>+SUM(T45:T46)</f>
        <v>0</v>
      </c>
      <c r="U44" s="982" t="e">
        <f>+(Q45*U45+Q46*U46)/Q44</f>
        <v>#DIV/0!</v>
      </c>
    </row>
    <row r="45" spans="1:21">
      <c r="A45" s="441" t="s">
        <v>469</v>
      </c>
      <c r="B45" s="442" t="s">
        <v>707</v>
      </c>
      <c r="C45" s="405">
        <v>34</v>
      </c>
      <c r="D45" s="453"/>
      <c r="E45" s="454"/>
      <c r="F45" s="459"/>
      <c r="G45" s="454"/>
      <c r="H45" s="454"/>
      <c r="I45" s="381">
        <f t="shared" ref="I45:I46" si="22">+F45*J45</f>
        <v>0</v>
      </c>
      <c r="J45" s="975"/>
      <c r="K45" s="459"/>
      <c r="L45" s="454"/>
      <c r="M45" s="459"/>
      <c r="N45" s="462"/>
      <c r="O45" s="1522"/>
      <c r="P45" s="1523"/>
      <c r="Q45" s="375">
        <f t="shared" si="1"/>
        <v>0</v>
      </c>
      <c r="R45" s="390">
        <f t="shared" si="2"/>
        <v>0</v>
      </c>
      <c r="S45" s="454"/>
      <c r="T45" s="1058">
        <f t="shared" ref="T45:T46" si="23">+Q45*U45</f>
        <v>0</v>
      </c>
      <c r="U45" s="983"/>
    </row>
    <row r="46" spans="1:21" ht="25.5">
      <c r="A46" s="441" t="s">
        <v>471</v>
      </c>
      <c r="B46" s="445" t="s">
        <v>708</v>
      </c>
      <c r="C46" s="410">
        <v>35</v>
      </c>
      <c r="D46" s="463"/>
      <c r="E46" s="461"/>
      <c r="F46" s="460"/>
      <c r="G46" s="461"/>
      <c r="H46" s="461"/>
      <c r="I46" s="381">
        <f t="shared" si="22"/>
        <v>0</v>
      </c>
      <c r="J46" s="976"/>
      <c r="K46" s="460"/>
      <c r="L46" s="461"/>
      <c r="M46" s="460"/>
      <c r="N46" s="464"/>
      <c r="O46" s="1522"/>
      <c r="P46" s="1523"/>
      <c r="Q46" s="379">
        <f t="shared" si="1"/>
        <v>0</v>
      </c>
      <c r="R46" s="394">
        <f t="shared" si="2"/>
        <v>0</v>
      </c>
      <c r="S46" s="461"/>
      <c r="T46" s="1059">
        <f t="shared" si="23"/>
        <v>0</v>
      </c>
      <c r="U46" s="984"/>
    </row>
    <row r="47" spans="1:21">
      <c r="A47" s="447">
        <v>3</v>
      </c>
      <c r="B47" s="438" t="s">
        <v>709</v>
      </c>
      <c r="C47" s="411">
        <v>36</v>
      </c>
      <c r="D47" s="418">
        <f>+D48+D53+D57</f>
        <v>0</v>
      </c>
      <c r="E47" s="395">
        <f>+E48+E53+E57</f>
        <v>0</v>
      </c>
      <c r="F47" s="385">
        <f>+F48+F53+F57</f>
        <v>0</v>
      </c>
      <c r="G47" s="395">
        <f>+G48+G53+G57</f>
        <v>0</v>
      </c>
      <c r="H47" s="1071" t="str">
        <f ca="1">IFERROR(SUM(H49:H52,H54:H56,H58:H59)/SUM(COUNTIF(INDIRECT({"H49:H52","H54:H56","H58:H59"}),"&gt;0")),"")</f>
        <v/>
      </c>
      <c r="I47" s="385">
        <f>+I48+I53+I57</f>
        <v>0</v>
      </c>
      <c r="J47" s="977" t="e">
        <f>+I47/F47</f>
        <v>#DIV/0!</v>
      </c>
      <c r="K47" s="385">
        <f>+K48+K53+K57</f>
        <v>0</v>
      </c>
      <c r="L47" s="395">
        <f>+L48+L53+L57</f>
        <v>0</v>
      </c>
      <c r="M47" s="385">
        <f>+M48+M53+M57</f>
        <v>0</v>
      </c>
      <c r="N47" s="402">
        <f>+N48+N53+N57</f>
        <v>0</v>
      </c>
      <c r="O47" s="1522"/>
      <c r="P47" s="1523"/>
      <c r="Q47" s="387">
        <f t="shared" si="1"/>
        <v>0</v>
      </c>
      <c r="R47" s="395">
        <f t="shared" si="2"/>
        <v>0</v>
      </c>
      <c r="S47" s="395" t="str">
        <f ca="1">IFERROR(SUM(S49:S52,S54:S56,S58:S59)/SUM(COUNTIF(INDIRECT({"S49:S52","S54:S56","S58:S59"}),"&gt;0")),"")</f>
        <v/>
      </c>
      <c r="T47" s="995">
        <f>+T48+T53+T57</f>
        <v>0</v>
      </c>
      <c r="U47" s="986" t="e">
        <f>+(Q49*U49+Q50*U50+Q51*U51+Q52*U52+Q54*U54+Q55*U55+Q56*U56+Q58*U58+Q59*U59)/Q47</f>
        <v>#DIV/0!</v>
      </c>
    </row>
    <row r="48" spans="1:21" ht="25.5">
      <c r="A48" s="443">
        <v>3.1</v>
      </c>
      <c r="B48" s="440" t="s">
        <v>710</v>
      </c>
      <c r="C48" s="408">
        <v>37</v>
      </c>
      <c r="D48" s="416">
        <f>+SUM(D49:D52)</f>
        <v>0</v>
      </c>
      <c r="E48" s="392">
        <f>+SUM(E49:E52)</f>
        <v>0</v>
      </c>
      <c r="F48" s="383">
        <f>+SUM(F49:F52)</f>
        <v>0</v>
      </c>
      <c r="G48" s="392">
        <f>+SUM(G49:G52)</f>
        <v>0</v>
      </c>
      <c r="H48" s="392" t="str">
        <f>IFERROR(AVERAGE(H49:H52),"")</f>
        <v/>
      </c>
      <c r="I48" s="383">
        <f>+SUM(I49:I52)</f>
        <v>0</v>
      </c>
      <c r="J48" s="978" t="e">
        <f>+(F49*J49+F50*J50+F51*J51+F52*J52)/F48</f>
        <v>#DIV/0!</v>
      </c>
      <c r="K48" s="383">
        <f>+SUM(K49:K52)</f>
        <v>0</v>
      </c>
      <c r="L48" s="392">
        <f>+SUM(L49:L52)</f>
        <v>0</v>
      </c>
      <c r="M48" s="383">
        <f>+SUM(M49:M52)</f>
        <v>0</v>
      </c>
      <c r="N48" s="400">
        <f>+SUM(N49:N52)</f>
        <v>0</v>
      </c>
      <c r="O48" s="1522"/>
      <c r="P48" s="1523"/>
      <c r="Q48" s="377">
        <f t="shared" si="1"/>
        <v>0</v>
      </c>
      <c r="R48" s="392">
        <f t="shared" si="2"/>
        <v>0</v>
      </c>
      <c r="S48" s="392" t="str">
        <f>IFERROR(AVERAGE(S49:S52),"")</f>
        <v/>
      </c>
      <c r="T48" s="994">
        <f>+SUM(T49:T52)</f>
        <v>0</v>
      </c>
      <c r="U48" s="985" t="e">
        <f>+(Q49*U49+Q50*U50+Q51*U51+Q52*U52)/Q48</f>
        <v>#DIV/0!</v>
      </c>
    </row>
    <row r="49" spans="1:21" ht="25.5">
      <c r="A49" s="441" t="s">
        <v>711</v>
      </c>
      <c r="B49" s="442" t="s">
        <v>712</v>
      </c>
      <c r="C49" s="405">
        <v>38</v>
      </c>
      <c r="D49" s="453"/>
      <c r="E49" s="454"/>
      <c r="F49" s="459"/>
      <c r="G49" s="454"/>
      <c r="H49" s="454"/>
      <c r="I49" s="381">
        <f t="shared" ref="I49:I52" si="24">+F49*J49</f>
        <v>0</v>
      </c>
      <c r="J49" s="975"/>
      <c r="K49" s="459"/>
      <c r="L49" s="454"/>
      <c r="M49" s="459"/>
      <c r="N49" s="462"/>
      <c r="O49" s="1522"/>
      <c r="P49" s="1523"/>
      <c r="Q49" s="375">
        <f t="shared" si="1"/>
        <v>0</v>
      </c>
      <c r="R49" s="390">
        <f t="shared" si="2"/>
        <v>0</v>
      </c>
      <c r="S49" s="454"/>
      <c r="T49" s="1058">
        <f t="shared" ref="T49:T52" si="25">+Q49*U49</f>
        <v>0</v>
      </c>
      <c r="U49" s="983"/>
    </row>
    <row r="50" spans="1:21" ht="25.5">
      <c r="A50" s="441" t="s">
        <v>713</v>
      </c>
      <c r="B50" s="442" t="s">
        <v>714</v>
      </c>
      <c r="C50" s="405">
        <v>39</v>
      </c>
      <c r="D50" s="453"/>
      <c r="E50" s="454"/>
      <c r="F50" s="459"/>
      <c r="G50" s="454"/>
      <c r="H50" s="454"/>
      <c r="I50" s="381">
        <f t="shared" si="24"/>
        <v>0</v>
      </c>
      <c r="J50" s="975"/>
      <c r="K50" s="459"/>
      <c r="L50" s="454"/>
      <c r="M50" s="459"/>
      <c r="N50" s="462"/>
      <c r="O50" s="1522"/>
      <c r="P50" s="1523"/>
      <c r="Q50" s="375">
        <f t="shared" si="1"/>
        <v>0</v>
      </c>
      <c r="R50" s="390">
        <f t="shared" si="2"/>
        <v>0</v>
      </c>
      <c r="S50" s="454"/>
      <c r="T50" s="1058">
        <f t="shared" si="25"/>
        <v>0</v>
      </c>
      <c r="U50" s="983"/>
    </row>
    <row r="51" spans="1:21" ht="25.5">
      <c r="A51" s="441" t="s">
        <v>715</v>
      </c>
      <c r="B51" s="442" t="s">
        <v>716</v>
      </c>
      <c r="C51" s="405">
        <v>40</v>
      </c>
      <c r="D51" s="453"/>
      <c r="E51" s="454"/>
      <c r="F51" s="459"/>
      <c r="G51" s="454"/>
      <c r="H51" s="454"/>
      <c r="I51" s="381">
        <f t="shared" si="24"/>
        <v>0</v>
      </c>
      <c r="J51" s="975"/>
      <c r="K51" s="459"/>
      <c r="L51" s="454"/>
      <c r="M51" s="459"/>
      <c r="N51" s="462"/>
      <c r="O51" s="1522"/>
      <c r="P51" s="1523"/>
      <c r="Q51" s="375">
        <f t="shared" si="1"/>
        <v>0</v>
      </c>
      <c r="R51" s="390">
        <f t="shared" si="2"/>
        <v>0</v>
      </c>
      <c r="S51" s="454"/>
      <c r="T51" s="1058">
        <f t="shared" si="25"/>
        <v>0</v>
      </c>
      <c r="U51" s="983"/>
    </row>
    <row r="52" spans="1:21">
      <c r="A52" s="441" t="s">
        <v>717</v>
      </c>
      <c r="B52" s="442" t="s">
        <v>718</v>
      </c>
      <c r="C52" s="405">
        <v>41</v>
      </c>
      <c r="D52" s="453"/>
      <c r="E52" s="454"/>
      <c r="F52" s="459"/>
      <c r="G52" s="454"/>
      <c r="H52" s="454"/>
      <c r="I52" s="381">
        <f t="shared" si="24"/>
        <v>0</v>
      </c>
      <c r="J52" s="975"/>
      <c r="K52" s="459"/>
      <c r="L52" s="454"/>
      <c r="M52" s="459"/>
      <c r="N52" s="462"/>
      <c r="O52" s="1522"/>
      <c r="P52" s="1523"/>
      <c r="Q52" s="375">
        <f t="shared" si="1"/>
        <v>0</v>
      </c>
      <c r="R52" s="390">
        <f t="shared" si="2"/>
        <v>0</v>
      </c>
      <c r="S52" s="454"/>
      <c r="T52" s="1058">
        <f t="shared" si="25"/>
        <v>0</v>
      </c>
      <c r="U52" s="983"/>
    </row>
    <row r="53" spans="1:21" ht="25.5">
      <c r="A53" s="443">
        <v>3.2</v>
      </c>
      <c r="B53" s="444" t="s">
        <v>719</v>
      </c>
      <c r="C53" s="409">
        <v>42</v>
      </c>
      <c r="D53" s="417">
        <f>+SUM(D54:D56)</f>
        <v>0</v>
      </c>
      <c r="E53" s="393">
        <f>+SUM(E54:E56)</f>
        <v>0</v>
      </c>
      <c r="F53" s="384">
        <f>+SUM(F54:F56)</f>
        <v>0</v>
      </c>
      <c r="G53" s="393">
        <f>+SUM(G54:G56)</f>
        <v>0</v>
      </c>
      <c r="H53" s="393" t="str">
        <f>IFERROR(AVERAGE(H44:H46),"")</f>
        <v/>
      </c>
      <c r="I53" s="384">
        <f>+SUM(I54:I56)</f>
        <v>0</v>
      </c>
      <c r="J53" s="979" t="e">
        <f>+(F54*J54+F55*J55+F56*J56)/F53</f>
        <v>#DIV/0!</v>
      </c>
      <c r="K53" s="384">
        <f>+SUM(K54:K56)</f>
        <v>0</v>
      </c>
      <c r="L53" s="393">
        <f>+SUM(L54:L56)</f>
        <v>0</v>
      </c>
      <c r="M53" s="384">
        <f>+SUM(M54:M56)</f>
        <v>0</v>
      </c>
      <c r="N53" s="401">
        <f>+SUM(N54:N56)</f>
        <v>0</v>
      </c>
      <c r="O53" s="1522"/>
      <c r="P53" s="1523"/>
      <c r="Q53" s="378">
        <f t="shared" si="1"/>
        <v>0</v>
      </c>
      <c r="R53" s="393">
        <f t="shared" si="2"/>
        <v>0</v>
      </c>
      <c r="S53" s="393" t="str">
        <f>IFERROR(AVERAGE(S44:S46),"")</f>
        <v/>
      </c>
      <c r="T53" s="993">
        <f>+SUM(T54:T56)</f>
        <v>0</v>
      </c>
      <c r="U53" s="982" t="e">
        <f>+(Q54*U54+Q55*U55+Q56*U56)/Q53</f>
        <v>#DIV/0!</v>
      </c>
    </row>
    <row r="54" spans="1:21" ht="25.5">
      <c r="A54" s="441" t="s">
        <v>720</v>
      </c>
      <c r="B54" s="442" t="s">
        <v>721</v>
      </c>
      <c r="C54" s="405">
        <v>43</v>
      </c>
      <c r="D54" s="453"/>
      <c r="E54" s="454"/>
      <c r="F54" s="459"/>
      <c r="G54" s="454"/>
      <c r="H54" s="454"/>
      <c r="I54" s="381">
        <f t="shared" ref="I54:I55" si="26">+F54*J54</f>
        <v>0</v>
      </c>
      <c r="J54" s="975"/>
      <c r="K54" s="459"/>
      <c r="L54" s="454"/>
      <c r="M54" s="459"/>
      <c r="N54" s="462"/>
      <c r="O54" s="1522"/>
      <c r="P54" s="1523"/>
      <c r="Q54" s="375">
        <f t="shared" si="1"/>
        <v>0</v>
      </c>
      <c r="R54" s="390">
        <f t="shared" si="2"/>
        <v>0</v>
      </c>
      <c r="S54" s="454"/>
      <c r="T54" s="1058">
        <f t="shared" ref="T54:T55" si="27">+Q54*U54</f>
        <v>0</v>
      </c>
      <c r="U54" s="983"/>
    </row>
    <row r="55" spans="1:21" ht="25.5">
      <c r="A55" s="441" t="s">
        <v>722</v>
      </c>
      <c r="B55" s="442" t="s">
        <v>723</v>
      </c>
      <c r="C55" s="405">
        <v>44</v>
      </c>
      <c r="D55" s="453"/>
      <c r="E55" s="454"/>
      <c r="F55" s="459"/>
      <c r="G55" s="454"/>
      <c r="H55" s="454"/>
      <c r="I55" s="381">
        <f t="shared" si="26"/>
        <v>0</v>
      </c>
      <c r="J55" s="975"/>
      <c r="K55" s="459"/>
      <c r="L55" s="454"/>
      <c r="M55" s="459"/>
      <c r="N55" s="462"/>
      <c r="O55" s="1522"/>
      <c r="P55" s="1523"/>
      <c r="Q55" s="375">
        <f t="shared" si="1"/>
        <v>0</v>
      </c>
      <c r="R55" s="390">
        <f t="shared" si="2"/>
        <v>0</v>
      </c>
      <c r="S55" s="454"/>
      <c r="T55" s="1058">
        <f t="shared" si="27"/>
        <v>0</v>
      </c>
      <c r="U55" s="983"/>
    </row>
    <row r="56" spans="1:21">
      <c r="A56" s="441" t="s">
        <v>724</v>
      </c>
      <c r="B56" s="442" t="s">
        <v>725</v>
      </c>
      <c r="C56" s="405">
        <v>45</v>
      </c>
      <c r="D56" s="453"/>
      <c r="E56" s="454"/>
      <c r="F56" s="459"/>
      <c r="G56" s="454"/>
      <c r="H56" s="454"/>
      <c r="I56" s="381">
        <f>+F56*J56</f>
        <v>0</v>
      </c>
      <c r="J56" s="975"/>
      <c r="K56" s="459"/>
      <c r="L56" s="454"/>
      <c r="M56" s="459"/>
      <c r="N56" s="462"/>
      <c r="O56" s="1522"/>
      <c r="P56" s="1523"/>
      <c r="Q56" s="375">
        <f t="shared" si="1"/>
        <v>0</v>
      </c>
      <c r="R56" s="390">
        <f t="shared" si="2"/>
        <v>0</v>
      </c>
      <c r="S56" s="454"/>
      <c r="T56" s="1058">
        <f>+Q56*U56</f>
        <v>0</v>
      </c>
      <c r="U56" s="983"/>
    </row>
    <row r="57" spans="1:21">
      <c r="A57" s="443">
        <v>3.3</v>
      </c>
      <c r="B57" s="444" t="s">
        <v>726</v>
      </c>
      <c r="C57" s="409">
        <v>46</v>
      </c>
      <c r="D57" s="417">
        <f>+SUM(D58:D59)</f>
        <v>0</v>
      </c>
      <c r="E57" s="393">
        <f>+SUM(E58:E59)</f>
        <v>0</v>
      </c>
      <c r="F57" s="384">
        <f>+SUM(F58:F59)</f>
        <v>0</v>
      </c>
      <c r="G57" s="393">
        <f>+SUM(G58:G59)</f>
        <v>0</v>
      </c>
      <c r="H57" s="392" t="str">
        <f>IFERROR(AVERAGE(H58:H59),"")</f>
        <v/>
      </c>
      <c r="I57" s="384">
        <f>+SUM(I58:I59)</f>
        <v>0</v>
      </c>
      <c r="J57" s="979" t="e">
        <f>+(F58*J58+F59*J59)/F57</f>
        <v>#DIV/0!</v>
      </c>
      <c r="K57" s="384">
        <f>+SUM(K58:K59)</f>
        <v>0</v>
      </c>
      <c r="L57" s="393">
        <f>+SUM(L58:L59)</f>
        <v>0</v>
      </c>
      <c r="M57" s="384">
        <f>+SUM(M58:M59)</f>
        <v>0</v>
      </c>
      <c r="N57" s="401">
        <f>+SUM(N58:N59)</f>
        <v>0</v>
      </c>
      <c r="O57" s="1522"/>
      <c r="P57" s="1523"/>
      <c r="Q57" s="378">
        <f t="shared" si="1"/>
        <v>0</v>
      </c>
      <c r="R57" s="393">
        <f t="shared" si="2"/>
        <v>0</v>
      </c>
      <c r="S57" s="393" t="str">
        <f>IFERROR(AVERAGE(S58:S59),"")</f>
        <v/>
      </c>
      <c r="T57" s="993">
        <f>+SUM(T58:T59)</f>
        <v>0</v>
      </c>
      <c r="U57" s="982" t="e">
        <f>+(Q58*U58+Q59*U59)/Q57</f>
        <v>#DIV/0!</v>
      </c>
    </row>
    <row r="58" spans="1:21">
      <c r="A58" s="441" t="s">
        <v>727</v>
      </c>
      <c r="B58" s="442" t="s">
        <v>728</v>
      </c>
      <c r="C58" s="405">
        <v>47</v>
      </c>
      <c r="D58" s="453"/>
      <c r="E58" s="454"/>
      <c r="F58" s="459"/>
      <c r="G58" s="454"/>
      <c r="H58" s="454"/>
      <c r="I58" s="381">
        <f t="shared" ref="I58:I59" si="28">+F58*J58</f>
        <v>0</v>
      </c>
      <c r="J58" s="975"/>
      <c r="K58" s="459"/>
      <c r="L58" s="454"/>
      <c r="M58" s="459"/>
      <c r="N58" s="462"/>
      <c r="O58" s="1522"/>
      <c r="P58" s="1523"/>
      <c r="Q58" s="375">
        <f t="shared" si="1"/>
        <v>0</v>
      </c>
      <c r="R58" s="390">
        <f t="shared" si="2"/>
        <v>0</v>
      </c>
      <c r="S58" s="454"/>
      <c r="T58" s="1058">
        <f t="shared" ref="T58:T59" si="29">+Q58*U58</f>
        <v>0</v>
      </c>
      <c r="U58" s="983"/>
    </row>
    <row r="59" spans="1:21" ht="38.25">
      <c r="A59" s="441" t="s">
        <v>729</v>
      </c>
      <c r="B59" s="445" t="s">
        <v>730</v>
      </c>
      <c r="C59" s="410">
        <v>48</v>
      </c>
      <c r="D59" s="463"/>
      <c r="E59" s="461"/>
      <c r="F59" s="460"/>
      <c r="G59" s="461"/>
      <c r="H59" s="461"/>
      <c r="I59" s="381">
        <f t="shared" si="28"/>
        <v>0</v>
      </c>
      <c r="J59" s="976"/>
      <c r="K59" s="460"/>
      <c r="L59" s="461"/>
      <c r="M59" s="460"/>
      <c r="N59" s="464"/>
      <c r="O59" s="1522"/>
      <c r="P59" s="1523"/>
      <c r="Q59" s="379">
        <f t="shared" si="1"/>
        <v>0</v>
      </c>
      <c r="R59" s="394">
        <f t="shared" si="2"/>
        <v>0</v>
      </c>
      <c r="S59" s="461"/>
      <c r="T59" s="1059">
        <f t="shared" si="29"/>
        <v>0</v>
      </c>
      <c r="U59" s="984"/>
    </row>
    <row r="60" spans="1:21">
      <c r="A60" s="447">
        <v>4</v>
      </c>
      <c r="B60" s="438" t="s">
        <v>731</v>
      </c>
      <c r="C60" s="411">
        <v>49</v>
      </c>
      <c r="D60" s="415">
        <f>+D61+D63+D65</f>
        <v>0</v>
      </c>
      <c r="E60" s="391">
        <f>+E61+E63+E65</f>
        <v>0</v>
      </c>
      <c r="F60" s="382">
        <f>+F61+F63+F65</f>
        <v>0</v>
      </c>
      <c r="G60" s="391">
        <f>+G61+G63+G65</f>
        <v>0</v>
      </c>
      <c r="H60" s="1070" t="str">
        <f ca="1">+IFERROR(SUM(H62,H64,H66:H67)/SUM(COUNTIF(INDIRECT({"H62","H64","H66:H67"}),"&gt;0")),"")</f>
        <v/>
      </c>
      <c r="I60" s="382">
        <f>+I61+I63+I65</f>
        <v>0</v>
      </c>
      <c r="J60" s="977" t="e">
        <f>+I60/F60</f>
        <v>#DIV/0!</v>
      </c>
      <c r="K60" s="382">
        <f>+K61+K63+K65</f>
        <v>0</v>
      </c>
      <c r="L60" s="391">
        <f>+L61+L63+L65</f>
        <v>0</v>
      </c>
      <c r="M60" s="382">
        <f>+M61+M63+M65</f>
        <v>0</v>
      </c>
      <c r="N60" s="403">
        <f>+N61+N63+N65</f>
        <v>0</v>
      </c>
      <c r="O60" s="1522"/>
      <c r="P60" s="1523"/>
      <c r="Q60" s="388">
        <f t="shared" si="1"/>
        <v>0</v>
      </c>
      <c r="R60" s="391">
        <f t="shared" si="2"/>
        <v>0</v>
      </c>
      <c r="S60" s="391" t="str">
        <f ca="1">+IFERROR(SUM(S62,S64,S66:S67)/SUM(COUNTIF(INDIRECT({"S62","S64","S66:S67"}),"&gt;0")),"")</f>
        <v/>
      </c>
      <c r="T60" s="992">
        <f>+T61+T63+T65</f>
        <v>0</v>
      </c>
      <c r="U60" s="981" t="e">
        <f>+(Q62*U62+Q64*U64+Q66*U66+Q67*U67)/Q60</f>
        <v>#DIV/0!</v>
      </c>
    </row>
    <row r="61" spans="1:21">
      <c r="A61" s="443">
        <v>4.0999999999999996</v>
      </c>
      <c r="B61" s="440" t="s">
        <v>731</v>
      </c>
      <c r="C61" s="408">
        <v>50</v>
      </c>
      <c r="D61" s="416">
        <f t="shared" ref="D61:N61" si="30">+D62</f>
        <v>0</v>
      </c>
      <c r="E61" s="392">
        <f t="shared" si="30"/>
        <v>0</v>
      </c>
      <c r="F61" s="383">
        <f t="shared" si="30"/>
        <v>0</v>
      </c>
      <c r="G61" s="392">
        <f t="shared" si="30"/>
        <v>0</v>
      </c>
      <c r="H61" s="392">
        <f t="shared" si="30"/>
        <v>0</v>
      </c>
      <c r="I61" s="383">
        <f t="shared" si="30"/>
        <v>0</v>
      </c>
      <c r="J61" s="978">
        <f t="shared" si="30"/>
        <v>0</v>
      </c>
      <c r="K61" s="383">
        <f t="shared" si="30"/>
        <v>0</v>
      </c>
      <c r="L61" s="392">
        <f t="shared" si="30"/>
        <v>0</v>
      </c>
      <c r="M61" s="383">
        <f t="shared" si="30"/>
        <v>0</v>
      </c>
      <c r="N61" s="400">
        <f t="shared" si="30"/>
        <v>0</v>
      </c>
      <c r="O61" s="1522"/>
      <c r="P61" s="1523"/>
      <c r="Q61" s="377">
        <f t="shared" si="1"/>
        <v>0</v>
      </c>
      <c r="R61" s="392">
        <f t="shared" si="2"/>
        <v>0</v>
      </c>
      <c r="S61" s="392">
        <f>+S62</f>
        <v>0</v>
      </c>
      <c r="T61" s="994">
        <f t="shared" ref="T61" si="31">+T62</f>
        <v>0</v>
      </c>
      <c r="U61" s="985">
        <f>+U62</f>
        <v>0</v>
      </c>
    </row>
    <row r="62" spans="1:21" ht="25.5">
      <c r="A62" s="441" t="s">
        <v>732</v>
      </c>
      <c r="B62" s="442" t="s">
        <v>733</v>
      </c>
      <c r="C62" s="405">
        <v>51</v>
      </c>
      <c r="D62" s="453"/>
      <c r="E62" s="454"/>
      <c r="F62" s="459"/>
      <c r="G62" s="454"/>
      <c r="H62" s="454"/>
      <c r="I62" s="381">
        <f>+F62*J62</f>
        <v>0</v>
      </c>
      <c r="J62" s="975"/>
      <c r="K62" s="459"/>
      <c r="L62" s="454"/>
      <c r="M62" s="459"/>
      <c r="N62" s="462"/>
      <c r="O62" s="1522"/>
      <c r="P62" s="1523"/>
      <c r="Q62" s="375">
        <f t="shared" si="1"/>
        <v>0</v>
      </c>
      <c r="R62" s="390">
        <f t="shared" si="2"/>
        <v>0</v>
      </c>
      <c r="S62" s="454"/>
      <c r="T62" s="1058">
        <f>+Q62*U62</f>
        <v>0</v>
      </c>
      <c r="U62" s="983"/>
    </row>
    <row r="63" spans="1:21">
      <c r="A63" s="443">
        <v>4.2</v>
      </c>
      <c r="B63" s="444" t="s">
        <v>734</v>
      </c>
      <c r="C63" s="409">
        <v>52</v>
      </c>
      <c r="D63" s="417">
        <f t="shared" ref="D63:N63" si="32">+D64</f>
        <v>0</v>
      </c>
      <c r="E63" s="393">
        <f t="shared" si="32"/>
        <v>0</v>
      </c>
      <c r="F63" s="384">
        <f t="shared" si="32"/>
        <v>0</v>
      </c>
      <c r="G63" s="393">
        <f t="shared" si="32"/>
        <v>0</v>
      </c>
      <c r="H63" s="393">
        <f t="shared" si="32"/>
        <v>0</v>
      </c>
      <c r="I63" s="384">
        <f t="shared" si="32"/>
        <v>0</v>
      </c>
      <c r="J63" s="979">
        <f t="shared" si="32"/>
        <v>0</v>
      </c>
      <c r="K63" s="384">
        <f t="shared" si="32"/>
        <v>0</v>
      </c>
      <c r="L63" s="393">
        <f t="shared" si="32"/>
        <v>0</v>
      </c>
      <c r="M63" s="384">
        <f t="shared" si="32"/>
        <v>0</v>
      </c>
      <c r="N63" s="401">
        <f t="shared" si="32"/>
        <v>0</v>
      </c>
      <c r="O63" s="1522"/>
      <c r="P63" s="1523"/>
      <c r="Q63" s="378">
        <f t="shared" si="1"/>
        <v>0</v>
      </c>
      <c r="R63" s="393">
        <f t="shared" si="2"/>
        <v>0</v>
      </c>
      <c r="S63" s="393">
        <f>+S64</f>
        <v>0</v>
      </c>
      <c r="T63" s="993">
        <f t="shared" ref="T63" si="33">+T64</f>
        <v>0</v>
      </c>
      <c r="U63" s="982">
        <f>+U64</f>
        <v>0</v>
      </c>
    </row>
    <row r="64" spans="1:21" ht="25.5">
      <c r="A64" s="441" t="s">
        <v>735</v>
      </c>
      <c r="B64" s="442" t="s">
        <v>736</v>
      </c>
      <c r="C64" s="405">
        <v>53</v>
      </c>
      <c r="D64" s="453"/>
      <c r="E64" s="454"/>
      <c r="F64" s="459"/>
      <c r="G64" s="454"/>
      <c r="H64" s="454"/>
      <c r="I64" s="381">
        <f>+F64*J64</f>
        <v>0</v>
      </c>
      <c r="J64" s="975"/>
      <c r="K64" s="459"/>
      <c r="L64" s="454"/>
      <c r="M64" s="459"/>
      <c r="N64" s="462"/>
      <c r="O64" s="1522"/>
      <c r="P64" s="1523"/>
      <c r="Q64" s="375">
        <f t="shared" si="1"/>
        <v>0</v>
      </c>
      <c r="R64" s="390">
        <f t="shared" si="2"/>
        <v>0</v>
      </c>
      <c r="S64" s="454"/>
      <c r="T64" s="1058">
        <f>+Q64*U64</f>
        <v>0</v>
      </c>
      <c r="U64" s="983"/>
    </row>
    <row r="65" spans="1:21">
      <c r="A65" s="443">
        <v>4.3</v>
      </c>
      <c r="B65" s="444" t="s">
        <v>737</v>
      </c>
      <c r="C65" s="409">
        <v>54</v>
      </c>
      <c r="D65" s="417">
        <f>+SUM(D66:D67)</f>
        <v>0</v>
      </c>
      <c r="E65" s="393">
        <f>+SUM(E66:E67)</f>
        <v>0</v>
      </c>
      <c r="F65" s="384">
        <f>+SUM(F66:F67)</f>
        <v>0</v>
      </c>
      <c r="G65" s="393">
        <f>+SUM(G66:G67)</f>
        <v>0</v>
      </c>
      <c r="H65" s="392" t="str">
        <f>IFERROR(AVERAGE(H66:H67),"")</f>
        <v/>
      </c>
      <c r="I65" s="384">
        <f>+SUM(I66:I67)</f>
        <v>0</v>
      </c>
      <c r="J65" s="979" t="e">
        <f>+(F66*J66+F67*J67)/F65</f>
        <v>#DIV/0!</v>
      </c>
      <c r="K65" s="384">
        <f>+SUM(K66:K67)</f>
        <v>0</v>
      </c>
      <c r="L65" s="393">
        <f>+SUM(L66:L67)</f>
        <v>0</v>
      </c>
      <c r="M65" s="384">
        <f>+SUM(M66:M67)</f>
        <v>0</v>
      </c>
      <c r="N65" s="401">
        <f>+SUM(N66:N67)</f>
        <v>0</v>
      </c>
      <c r="O65" s="1522"/>
      <c r="P65" s="1523"/>
      <c r="Q65" s="378">
        <f t="shared" si="1"/>
        <v>0</v>
      </c>
      <c r="R65" s="393">
        <f t="shared" si="2"/>
        <v>0</v>
      </c>
      <c r="S65" s="393" t="str">
        <f>IFERROR(AVERAGE(S66:S67),"")</f>
        <v/>
      </c>
      <c r="T65" s="993">
        <f>+SUM(T66:T67)</f>
        <v>0</v>
      </c>
      <c r="U65" s="982" t="e">
        <f>+(Q66*U66+Q67*U67)/Q65</f>
        <v>#DIV/0!</v>
      </c>
    </row>
    <row r="66" spans="1:21">
      <c r="A66" s="441" t="s">
        <v>738</v>
      </c>
      <c r="B66" s="442" t="s">
        <v>737</v>
      </c>
      <c r="C66" s="405">
        <v>55</v>
      </c>
      <c r="D66" s="453"/>
      <c r="E66" s="454"/>
      <c r="F66" s="459"/>
      <c r="G66" s="454"/>
      <c r="H66" s="454"/>
      <c r="I66" s="381">
        <f t="shared" ref="I66:I67" si="34">+F66*J66</f>
        <v>0</v>
      </c>
      <c r="J66" s="975"/>
      <c r="K66" s="459"/>
      <c r="L66" s="454"/>
      <c r="M66" s="459"/>
      <c r="N66" s="462"/>
      <c r="O66" s="1522"/>
      <c r="P66" s="1523"/>
      <c r="Q66" s="375">
        <f t="shared" si="1"/>
        <v>0</v>
      </c>
      <c r="R66" s="390">
        <f t="shared" si="2"/>
        <v>0</v>
      </c>
      <c r="S66" s="454"/>
      <c r="T66" s="1058">
        <f t="shared" ref="T66:T67" si="35">+Q66*U66</f>
        <v>0</v>
      </c>
      <c r="U66" s="983"/>
    </row>
    <row r="67" spans="1:21">
      <c r="A67" s="441" t="s">
        <v>739</v>
      </c>
      <c r="B67" s="445" t="s">
        <v>740</v>
      </c>
      <c r="C67" s="410">
        <v>56</v>
      </c>
      <c r="D67" s="463"/>
      <c r="E67" s="461"/>
      <c r="F67" s="460"/>
      <c r="G67" s="461"/>
      <c r="H67" s="461"/>
      <c r="I67" s="381">
        <f t="shared" si="34"/>
        <v>0</v>
      </c>
      <c r="J67" s="976"/>
      <c r="K67" s="460"/>
      <c r="L67" s="461"/>
      <c r="M67" s="460"/>
      <c r="N67" s="464"/>
      <c r="O67" s="1522"/>
      <c r="P67" s="1523"/>
      <c r="Q67" s="379">
        <f t="shared" si="1"/>
        <v>0</v>
      </c>
      <c r="R67" s="394">
        <f t="shared" si="2"/>
        <v>0</v>
      </c>
      <c r="S67" s="461"/>
      <c r="T67" s="1059">
        <f t="shared" si="35"/>
        <v>0</v>
      </c>
      <c r="U67" s="984"/>
    </row>
    <row r="68" spans="1:21">
      <c r="A68" s="447">
        <v>5</v>
      </c>
      <c r="B68" s="438" t="s">
        <v>741</v>
      </c>
      <c r="C68" s="411">
        <v>57</v>
      </c>
      <c r="D68" s="415">
        <f>+D69+D73</f>
        <v>0</v>
      </c>
      <c r="E68" s="391">
        <f>+E69+E73</f>
        <v>0</v>
      </c>
      <c r="F68" s="382">
        <f>+F69+F73</f>
        <v>0</v>
      </c>
      <c r="G68" s="391">
        <f>+G69+G73</f>
        <v>0</v>
      </c>
      <c r="H68" s="1070" t="str">
        <f ca="1">IFERROR(SUM(H70:H72,H74:H75)/SUM(COUNTIF(INDIRECT({"H70:H72","H74:H75"}),"&gt;0")),"")</f>
        <v/>
      </c>
      <c r="I68" s="382">
        <f>+I69+I73</f>
        <v>0</v>
      </c>
      <c r="J68" s="977" t="e">
        <f>+I68/F68</f>
        <v>#DIV/0!</v>
      </c>
      <c r="K68" s="382">
        <f>+K69+K73</f>
        <v>0</v>
      </c>
      <c r="L68" s="391">
        <f>+L69+L73</f>
        <v>0</v>
      </c>
      <c r="M68" s="382">
        <f>+M69+M73</f>
        <v>0</v>
      </c>
      <c r="N68" s="403">
        <f>+N69+N73</f>
        <v>0</v>
      </c>
      <c r="O68" s="1522"/>
      <c r="P68" s="1523"/>
      <c r="Q68" s="388">
        <f t="shared" si="1"/>
        <v>0</v>
      </c>
      <c r="R68" s="391">
        <f t="shared" si="2"/>
        <v>0</v>
      </c>
      <c r="S68" s="391" t="str">
        <f ca="1">IFERROR(SUM(S70:S72,S74:S75)/SUM(COUNTIF(INDIRECT({"S70:S72","S74:S75"}),"&gt;0")),"")</f>
        <v/>
      </c>
      <c r="T68" s="992">
        <f>+T69+T73</f>
        <v>0</v>
      </c>
      <c r="U68" s="981" t="e">
        <f>+(Q70*U70+Q71*U71+Q72*U72+Q74*U74+Q75*U75)/Q68</f>
        <v>#DIV/0!</v>
      </c>
    </row>
    <row r="69" spans="1:21">
      <c r="A69" s="443">
        <v>5.0999999999999996</v>
      </c>
      <c r="B69" s="440" t="s">
        <v>742</v>
      </c>
      <c r="C69" s="408">
        <v>58</v>
      </c>
      <c r="D69" s="416">
        <f>+SUM(D70:D72)</f>
        <v>0</v>
      </c>
      <c r="E69" s="392">
        <f>+SUM(E70:E72)</f>
        <v>0</v>
      </c>
      <c r="F69" s="383">
        <f>+SUM(F70:F72)</f>
        <v>0</v>
      </c>
      <c r="G69" s="392">
        <f>+SUM(G70:G72)</f>
        <v>0</v>
      </c>
      <c r="H69" s="393">
        <f ca="1">IFERROR(AVERAGE(H60:H62),"")</f>
        <v>0</v>
      </c>
      <c r="I69" s="383">
        <f>+SUM(I70:I72)</f>
        <v>0</v>
      </c>
      <c r="J69" s="978" t="e">
        <f>+(F70*J70+F71*J71+F72*J72)/F69</f>
        <v>#DIV/0!</v>
      </c>
      <c r="K69" s="383">
        <f>+SUM(K70:K72)</f>
        <v>0</v>
      </c>
      <c r="L69" s="392">
        <f>+SUM(L70:L72)</f>
        <v>0</v>
      </c>
      <c r="M69" s="383">
        <f>+SUM(M70:M72)</f>
        <v>0</v>
      </c>
      <c r="N69" s="400">
        <f>+SUM(N70:N72)</f>
        <v>0</v>
      </c>
      <c r="O69" s="1522"/>
      <c r="P69" s="1523"/>
      <c r="Q69" s="377">
        <f t="shared" si="1"/>
        <v>0</v>
      </c>
      <c r="R69" s="392">
        <f t="shared" si="2"/>
        <v>0</v>
      </c>
      <c r="S69" s="392">
        <f ca="1">IFERROR(AVERAGE(S60:S62),"")</f>
        <v>0</v>
      </c>
      <c r="T69" s="994">
        <f>+SUM(T70:T72)</f>
        <v>0</v>
      </c>
      <c r="U69" s="985" t="e">
        <f>+(Q70*U70+Q71*U71+Q72*U72)/Q69</f>
        <v>#DIV/0!</v>
      </c>
    </row>
    <row r="70" spans="1:21" ht="38.25">
      <c r="A70" s="441" t="s">
        <v>743</v>
      </c>
      <c r="B70" s="442" t="s">
        <v>744</v>
      </c>
      <c r="C70" s="405">
        <v>59</v>
      </c>
      <c r="D70" s="453"/>
      <c r="E70" s="454"/>
      <c r="F70" s="459"/>
      <c r="G70" s="454"/>
      <c r="H70" s="454"/>
      <c r="I70" s="381">
        <f t="shared" ref="I70:I72" si="36">+F70*J70</f>
        <v>0</v>
      </c>
      <c r="J70" s="975"/>
      <c r="K70" s="459"/>
      <c r="L70" s="454"/>
      <c r="M70" s="459"/>
      <c r="N70" s="462"/>
      <c r="O70" s="1522"/>
      <c r="P70" s="1523"/>
      <c r="Q70" s="375">
        <f t="shared" si="1"/>
        <v>0</v>
      </c>
      <c r="R70" s="390">
        <f t="shared" si="2"/>
        <v>0</v>
      </c>
      <c r="S70" s="454"/>
      <c r="T70" s="1058">
        <f t="shared" ref="T70:T72" si="37">+Q70*U70</f>
        <v>0</v>
      </c>
      <c r="U70" s="983"/>
    </row>
    <row r="71" spans="1:21" ht="25.5">
      <c r="A71" s="441" t="s">
        <v>745</v>
      </c>
      <c r="B71" s="442" t="s">
        <v>746</v>
      </c>
      <c r="C71" s="405">
        <v>60</v>
      </c>
      <c r="D71" s="453"/>
      <c r="E71" s="454"/>
      <c r="F71" s="459"/>
      <c r="G71" s="454"/>
      <c r="H71" s="454"/>
      <c r="I71" s="381">
        <f t="shared" si="36"/>
        <v>0</v>
      </c>
      <c r="J71" s="975"/>
      <c r="K71" s="459"/>
      <c r="L71" s="454"/>
      <c r="M71" s="459"/>
      <c r="N71" s="462"/>
      <c r="O71" s="1522"/>
      <c r="P71" s="1523"/>
      <c r="Q71" s="375">
        <f t="shared" si="1"/>
        <v>0</v>
      </c>
      <c r="R71" s="390">
        <f t="shared" si="2"/>
        <v>0</v>
      </c>
      <c r="S71" s="454"/>
      <c r="T71" s="1058">
        <f t="shared" si="37"/>
        <v>0</v>
      </c>
      <c r="U71" s="983"/>
    </row>
    <row r="72" spans="1:21">
      <c r="A72" s="441" t="s">
        <v>747</v>
      </c>
      <c r="B72" s="442" t="s">
        <v>748</v>
      </c>
      <c r="C72" s="405">
        <v>61</v>
      </c>
      <c r="D72" s="453"/>
      <c r="E72" s="454"/>
      <c r="F72" s="459"/>
      <c r="G72" s="454"/>
      <c r="H72" s="454"/>
      <c r="I72" s="381">
        <f t="shared" si="36"/>
        <v>0</v>
      </c>
      <c r="J72" s="975"/>
      <c r="K72" s="459"/>
      <c r="L72" s="454"/>
      <c r="M72" s="459"/>
      <c r="N72" s="462"/>
      <c r="O72" s="1522"/>
      <c r="P72" s="1523"/>
      <c r="Q72" s="375">
        <f t="shared" si="1"/>
        <v>0</v>
      </c>
      <c r="R72" s="390">
        <f t="shared" si="2"/>
        <v>0</v>
      </c>
      <c r="S72" s="454"/>
      <c r="T72" s="1058">
        <f t="shared" si="37"/>
        <v>0</v>
      </c>
      <c r="U72" s="983"/>
    </row>
    <row r="73" spans="1:21">
      <c r="A73" s="443">
        <v>5.2</v>
      </c>
      <c r="B73" s="444" t="s">
        <v>749</v>
      </c>
      <c r="C73" s="409">
        <v>62</v>
      </c>
      <c r="D73" s="417">
        <f>+SUM(D74:D75)</f>
        <v>0</v>
      </c>
      <c r="E73" s="393">
        <f>+SUM(E74:E75)</f>
        <v>0</v>
      </c>
      <c r="F73" s="384">
        <f>+SUM(F74:F75)</f>
        <v>0</v>
      </c>
      <c r="G73" s="393">
        <f>+SUM(G74:G75)</f>
        <v>0</v>
      </c>
      <c r="H73" s="392" t="str">
        <f>IFERROR(AVERAGE(H74:H75),"")</f>
        <v/>
      </c>
      <c r="I73" s="384">
        <f>+SUM(I74:I75)</f>
        <v>0</v>
      </c>
      <c r="J73" s="979" t="e">
        <f>+(F74*J74+F75*J75)/F73</f>
        <v>#DIV/0!</v>
      </c>
      <c r="K73" s="384">
        <f>+SUM(K74:K75)</f>
        <v>0</v>
      </c>
      <c r="L73" s="393">
        <f>+SUM(L74:L75)</f>
        <v>0</v>
      </c>
      <c r="M73" s="384">
        <f>+SUM(M74:M75)</f>
        <v>0</v>
      </c>
      <c r="N73" s="401">
        <f>+SUM(N74:N75)</f>
        <v>0</v>
      </c>
      <c r="O73" s="1522"/>
      <c r="P73" s="1523"/>
      <c r="Q73" s="378">
        <f t="shared" si="1"/>
        <v>0</v>
      </c>
      <c r="R73" s="393">
        <f t="shared" si="2"/>
        <v>0</v>
      </c>
      <c r="S73" s="393" t="str">
        <f>IFERROR(AVERAGE(S74:S75),"")</f>
        <v/>
      </c>
      <c r="T73" s="993">
        <f>+SUM(T74:T75)</f>
        <v>0</v>
      </c>
      <c r="U73" s="982" t="e">
        <f>+(Q74*U74+Q75*U75)/Q73</f>
        <v>#DIV/0!</v>
      </c>
    </row>
    <row r="74" spans="1:21" ht="25.5">
      <c r="A74" s="441" t="s">
        <v>750</v>
      </c>
      <c r="B74" s="442" t="s">
        <v>751</v>
      </c>
      <c r="C74" s="405">
        <v>63</v>
      </c>
      <c r="D74" s="453"/>
      <c r="E74" s="454"/>
      <c r="F74" s="459"/>
      <c r="G74" s="454"/>
      <c r="H74" s="454"/>
      <c r="I74" s="381">
        <f t="shared" ref="I74:I75" si="38">+F74*J74</f>
        <v>0</v>
      </c>
      <c r="J74" s="975"/>
      <c r="K74" s="459"/>
      <c r="L74" s="454"/>
      <c r="M74" s="459"/>
      <c r="N74" s="462"/>
      <c r="O74" s="1522"/>
      <c r="P74" s="1523"/>
      <c r="Q74" s="375">
        <f t="shared" si="1"/>
        <v>0</v>
      </c>
      <c r="R74" s="390">
        <f t="shared" si="2"/>
        <v>0</v>
      </c>
      <c r="S74" s="454"/>
      <c r="T74" s="1058">
        <f t="shared" ref="T74:T75" si="39">+Q74*U74</f>
        <v>0</v>
      </c>
      <c r="U74" s="983"/>
    </row>
    <row r="75" spans="1:21" ht="25.5">
      <c r="A75" s="441" t="s">
        <v>752</v>
      </c>
      <c r="B75" s="445" t="s">
        <v>753</v>
      </c>
      <c r="C75" s="410">
        <v>64</v>
      </c>
      <c r="D75" s="463"/>
      <c r="E75" s="461"/>
      <c r="F75" s="460"/>
      <c r="G75" s="461"/>
      <c r="H75" s="461"/>
      <c r="I75" s="381">
        <f t="shared" si="38"/>
        <v>0</v>
      </c>
      <c r="J75" s="976"/>
      <c r="K75" s="460"/>
      <c r="L75" s="461"/>
      <c r="M75" s="460"/>
      <c r="N75" s="464"/>
      <c r="O75" s="1522"/>
      <c r="P75" s="1523"/>
      <c r="Q75" s="379">
        <f t="shared" si="1"/>
        <v>0</v>
      </c>
      <c r="R75" s="394">
        <f t="shared" si="2"/>
        <v>0</v>
      </c>
      <c r="S75" s="461"/>
      <c r="T75" s="1059">
        <f t="shared" si="39"/>
        <v>0</v>
      </c>
      <c r="U75" s="984"/>
    </row>
    <row r="76" spans="1:21">
      <c r="A76" s="447">
        <v>6</v>
      </c>
      <c r="B76" s="438" t="s">
        <v>754</v>
      </c>
      <c r="C76" s="411">
        <v>65</v>
      </c>
      <c r="D76" s="415">
        <f>+D77+D80+D85</f>
        <v>0</v>
      </c>
      <c r="E76" s="391">
        <f>+E77+E80+E85</f>
        <v>0</v>
      </c>
      <c r="F76" s="382">
        <f>+F77+F80+F85</f>
        <v>0</v>
      </c>
      <c r="G76" s="391">
        <f>+G77+G80+G85</f>
        <v>0</v>
      </c>
      <c r="H76" s="1070" t="str">
        <f ca="1">+IFERROR(SUM(H78:H79,H81:H84,H86)/SUM(COUNTIF(INDIRECT({"H78:H79","H81:H84","H86"}),"&gt;0")),"")</f>
        <v/>
      </c>
      <c r="I76" s="382">
        <f>+I77+I80+I85</f>
        <v>0</v>
      </c>
      <c r="J76" s="977" t="e">
        <f>+I76/F76</f>
        <v>#DIV/0!</v>
      </c>
      <c r="K76" s="382">
        <f>+K77+K80+K85</f>
        <v>0</v>
      </c>
      <c r="L76" s="391">
        <f>+L77+L80+L85</f>
        <v>0</v>
      </c>
      <c r="M76" s="382">
        <f>+M77+M80+M85</f>
        <v>0</v>
      </c>
      <c r="N76" s="403">
        <f>+N77+N80+N85</f>
        <v>0</v>
      </c>
      <c r="O76" s="1522"/>
      <c r="P76" s="1523"/>
      <c r="Q76" s="388">
        <f t="shared" si="1"/>
        <v>0</v>
      </c>
      <c r="R76" s="391">
        <f t="shared" si="2"/>
        <v>0</v>
      </c>
      <c r="S76" s="391" t="str">
        <f ca="1">+IFERROR(SUM(S78:S79,S81:S84,S86)/SUM(COUNTIF(INDIRECT({"S78:S79","S81:S84","S86"}),"&gt;0")),"")</f>
        <v/>
      </c>
      <c r="T76" s="992">
        <f>+T77+T80+T85</f>
        <v>0</v>
      </c>
      <c r="U76" s="981" t="e">
        <f>+(Q78*U78+Q79*U79+Q81*U81+Q82*U82+Q83*U83+Q84*U84+Q86*U86)/Q76</f>
        <v>#DIV/0!</v>
      </c>
    </row>
    <row r="77" spans="1:21">
      <c r="A77" s="448">
        <v>6.1</v>
      </c>
      <c r="B77" s="440" t="s">
        <v>755</v>
      </c>
      <c r="C77" s="408">
        <v>66</v>
      </c>
      <c r="D77" s="416">
        <f>+SUM(D78:D79)</f>
        <v>0</v>
      </c>
      <c r="E77" s="392">
        <f>+SUM(E78:E79)</f>
        <v>0</v>
      </c>
      <c r="F77" s="383">
        <f>+SUM(F78:F79)</f>
        <v>0</v>
      </c>
      <c r="G77" s="392">
        <f>+SUM(G78:G79)</f>
        <v>0</v>
      </c>
      <c r="H77" s="392" t="str">
        <f>IFERROR(AVERAGE(H78:H79),"")</f>
        <v/>
      </c>
      <c r="I77" s="383">
        <f>+SUM(I78:I79)</f>
        <v>0</v>
      </c>
      <c r="J77" s="978" t="e">
        <f>+(F78*J78+F79*J79)/F77</f>
        <v>#DIV/0!</v>
      </c>
      <c r="K77" s="383">
        <f>+SUM(K78:K79)</f>
        <v>0</v>
      </c>
      <c r="L77" s="392">
        <f>+SUM(L78:L79)</f>
        <v>0</v>
      </c>
      <c r="M77" s="383">
        <f>+SUM(M78:M79)</f>
        <v>0</v>
      </c>
      <c r="N77" s="400">
        <f>+SUM(N78:N79)</f>
        <v>0</v>
      </c>
      <c r="O77" s="1522"/>
      <c r="P77" s="1523"/>
      <c r="Q77" s="377">
        <f t="shared" si="1"/>
        <v>0</v>
      </c>
      <c r="R77" s="392">
        <f t="shared" si="2"/>
        <v>0</v>
      </c>
      <c r="S77" s="392" t="str">
        <f>IFERROR(AVERAGE(S78:S79),"")</f>
        <v/>
      </c>
      <c r="T77" s="994">
        <f>+SUM(T78:T79)</f>
        <v>0</v>
      </c>
      <c r="U77" s="985" t="e">
        <f>+(Q78*U78+Q79*U79)/Q77</f>
        <v>#DIV/0!</v>
      </c>
    </row>
    <row r="78" spans="1:21" ht="25.5">
      <c r="A78" s="441" t="s">
        <v>756</v>
      </c>
      <c r="B78" s="442" t="s">
        <v>757</v>
      </c>
      <c r="C78" s="405">
        <v>67</v>
      </c>
      <c r="D78" s="453"/>
      <c r="E78" s="454"/>
      <c r="F78" s="459"/>
      <c r="G78" s="454"/>
      <c r="H78" s="454"/>
      <c r="I78" s="381">
        <f t="shared" ref="I78:I79" si="40">+F78*J78</f>
        <v>0</v>
      </c>
      <c r="J78" s="975"/>
      <c r="K78" s="459"/>
      <c r="L78" s="454"/>
      <c r="M78" s="459"/>
      <c r="N78" s="462"/>
      <c r="O78" s="1522"/>
      <c r="P78" s="1523"/>
      <c r="Q78" s="375">
        <f t="shared" ref="Q78:Q112" si="41">ROUND(SUM(D78,F78,-K78,-M78),2)</f>
        <v>0</v>
      </c>
      <c r="R78" s="390">
        <f t="shared" ref="R78:R112" si="42">+E78+G78-N78</f>
        <v>0</v>
      </c>
      <c r="S78" s="454"/>
      <c r="T78" s="1058">
        <f t="shared" ref="T78:T79" si="43">+Q78*U78</f>
        <v>0</v>
      </c>
      <c r="U78" s="983"/>
    </row>
    <row r="79" spans="1:21" ht="25.5">
      <c r="A79" s="441" t="s">
        <v>758</v>
      </c>
      <c r="B79" s="442" t="s">
        <v>759</v>
      </c>
      <c r="C79" s="405">
        <v>68</v>
      </c>
      <c r="D79" s="453"/>
      <c r="E79" s="454"/>
      <c r="F79" s="459"/>
      <c r="G79" s="454"/>
      <c r="H79" s="454"/>
      <c r="I79" s="381">
        <f t="shared" si="40"/>
        <v>0</v>
      </c>
      <c r="J79" s="975"/>
      <c r="K79" s="459"/>
      <c r="L79" s="454"/>
      <c r="M79" s="459"/>
      <c r="N79" s="462"/>
      <c r="O79" s="1522"/>
      <c r="P79" s="1523"/>
      <c r="Q79" s="375">
        <f t="shared" si="41"/>
        <v>0</v>
      </c>
      <c r="R79" s="390">
        <f t="shared" si="42"/>
        <v>0</v>
      </c>
      <c r="S79" s="454"/>
      <c r="T79" s="1058">
        <f t="shared" si="43"/>
        <v>0</v>
      </c>
      <c r="U79" s="983"/>
    </row>
    <row r="80" spans="1:21">
      <c r="A80" s="443">
        <v>6.2</v>
      </c>
      <c r="B80" s="444" t="s">
        <v>760</v>
      </c>
      <c r="C80" s="409">
        <v>69</v>
      </c>
      <c r="D80" s="417">
        <f>+SUM(D81:D84)</f>
        <v>0</v>
      </c>
      <c r="E80" s="393">
        <f>+SUM(E81:E84)</f>
        <v>0</v>
      </c>
      <c r="F80" s="384">
        <f>+SUM(F81:F84)</f>
        <v>0</v>
      </c>
      <c r="G80" s="393">
        <f>+SUM(G81:G84)</f>
        <v>0</v>
      </c>
      <c r="H80" s="392" t="str">
        <f>IFERROR(AVERAGE(H81:H84),"")</f>
        <v/>
      </c>
      <c r="I80" s="384">
        <f>+SUM(I81:I84)</f>
        <v>0</v>
      </c>
      <c r="J80" s="979" t="e">
        <f>+(F81*J81+F82*J82+F83*J83+F84*J84)/F80</f>
        <v>#DIV/0!</v>
      </c>
      <c r="K80" s="384">
        <f>+SUM(K81:K84)</f>
        <v>0</v>
      </c>
      <c r="L80" s="393">
        <f>+SUM(L81:L84)</f>
        <v>0</v>
      </c>
      <c r="M80" s="384">
        <f>+SUM(M81:M84)</f>
        <v>0</v>
      </c>
      <c r="N80" s="401">
        <f>+SUM(N81:N84)</f>
        <v>0</v>
      </c>
      <c r="O80" s="1522"/>
      <c r="P80" s="1523"/>
      <c r="Q80" s="378">
        <f t="shared" si="41"/>
        <v>0</v>
      </c>
      <c r="R80" s="393">
        <f t="shared" si="42"/>
        <v>0</v>
      </c>
      <c r="S80" s="393" t="str">
        <f>IFERROR(AVERAGE(S81:S84),"")</f>
        <v/>
      </c>
      <c r="T80" s="993">
        <f>+SUM(T81:T84)</f>
        <v>0</v>
      </c>
      <c r="U80" s="982" t="e">
        <f>+(Q81*U81+Q82*U82+Q83*U83+Q84*U84)/Q80</f>
        <v>#DIV/0!</v>
      </c>
    </row>
    <row r="81" spans="1:21">
      <c r="A81" s="441" t="s">
        <v>761</v>
      </c>
      <c r="B81" s="442" t="s">
        <v>762</v>
      </c>
      <c r="C81" s="405">
        <v>70</v>
      </c>
      <c r="D81" s="453"/>
      <c r="E81" s="454"/>
      <c r="F81" s="459"/>
      <c r="G81" s="454"/>
      <c r="H81" s="454"/>
      <c r="I81" s="381">
        <f t="shared" ref="I81:I84" si="44">+F81*J81</f>
        <v>0</v>
      </c>
      <c r="J81" s="975"/>
      <c r="K81" s="459"/>
      <c r="L81" s="454"/>
      <c r="M81" s="459"/>
      <c r="N81" s="462"/>
      <c r="O81" s="1522"/>
      <c r="P81" s="1523"/>
      <c r="Q81" s="375">
        <f t="shared" si="41"/>
        <v>0</v>
      </c>
      <c r="R81" s="390">
        <f t="shared" si="42"/>
        <v>0</v>
      </c>
      <c r="S81" s="454"/>
      <c r="T81" s="1058">
        <f t="shared" ref="T81:T84" si="45">+Q81*U81</f>
        <v>0</v>
      </c>
      <c r="U81" s="983"/>
    </row>
    <row r="82" spans="1:21" ht="25.5">
      <c r="A82" s="441" t="s">
        <v>763</v>
      </c>
      <c r="B82" s="442" t="s">
        <v>764</v>
      </c>
      <c r="C82" s="405">
        <v>71</v>
      </c>
      <c r="D82" s="453"/>
      <c r="E82" s="454"/>
      <c r="F82" s="459"/>
      <c r="G82" s="454"/>
      <c r="H82" s="454"/>
      <c r="I82" s="381">
        <f t="shared" si="44"/>
        <v>0</v>
      </c>
      <c r="J82" s="975"/>
      <c r="K82" s="459"/>
      <c r="L82" s="454"/>
      <c r="M82" s="459"/>
      <c r="N82" s="462"/>
      <c r="O82" s="1522"/>
      <c r="P82" s="1523"/>
      <c r="Q82" s="375">
        <f t="shared" si="41"/>
        <v>0</v>
      </c>
      <c r="R82" s="390">
        <f t="shared" si="42"/>
        <v>0</v>
      </c>
      <c r="S82" s="454"/>
      <c r="T82" s="1058">
        <f t="shared" si="45"/>
        <v>0</v>
      </c>
      <c r="U82" s="983"/>
    </row>
    <row r="83" spans="1:21">
      <c r="A83" s="441" t="s">
        <v>765</v>
      </c>
      <c r="B83" s="442" t="s">
        <v>766</v>
      </c>
      <c r="C83" s="405">
        <v>72</v>
      </c>
      <c r="D83" s="453"/>
      <c r="E83" s="454"/>
      <c r="F83" s="459"/>
      <c r="G83" s="454"/>
      <c r="H83" s="454"/>
      <c r="I83" s="381">
        <f t="shared" si="44"/>
        <v>0</v>
      </c>
      <c r="J83" s="975"/>
      <c r="K83" s="459"/>
      <c r="L83" s="454"/>
      <c r="M83" s="459"/>
      <c r="N83" s="462"/>
      <c r="O83" s="1522"/>
      <c r="P83" s="1523"/>
      <c r="Q83" s="375">
        <f t="shared" si="41"/>
        <v>0</v>
      </c>
      <c r="R83" s="390">
        <f t="shared" si="42"/>
        <v>0</v>
      </c>
      <c r="S83" s="454"/>
      <c r="T83" s="1058">
        <f t="shared" si="45"/>
        <v>0</v>
      </c>
      <c r="U83" s="983"/>
    </row>
    <row r="84" spans="1:21">
      <c r="A84" s="441" t="s">
        <v>767</v>
      </c>
      <c r="B84" s="442" t="s">
        <v>768</v>
      </c>
      <c r="C84" s="405">
        <v>73</v>
      </c>
      <c r="D84" s="453"/>
      <c r="E84" s="454"/>
      <c r="F84" s="459"/>
      <c r="G84" s="454"/>
      <c r="H84" s="454"/>
      <c r="I84" s="381">
        <f t="shared" si="44"/>
        <v>0</v>
      </c>
      <c r="J84" s="975"/>
      <c r="K84" s="459"/>
      <c r="L84" s="454"/>
      <c r="M84" s="459"/>
      <c r="N84" s="462"/>
      <c r="O84" s="1522"/>
      <c r="P84" s="1523"/>
      <c r="Q84" s="375">
        <f t="shared" si="41"/>
        <v>0</v>
      </c>
      <c r="R84" s="390">
        <f t="shared" si="42"/>
        <v>0</v>
      </c>
      <c r="S84" s="454"/>
      <c r="T84" s="1058">
        <f t="shared" si="45"/>
        <v>0</v>
      </c>
      <c r="U84" s="983"/>
    </row>
    <row r="85" spans="1:21">
      <c r="A85" s="443">
        <v>6.3</v>
      </c>
      <c r="B85" s="444" t="s">
        <v>769</v>
      </c>
      <c r="C85" s="409">
        <v>74</v>
      </c>
      <c r="D85" s="417">
        <f t="shared" ref="D85:N85" si="46">+D86</f>
        <v>0</v>
      </c>
      <c r="E85" s="393">
        <f t="shared" si="46"/>
        <v>0</v>
      </c>
      <c r="F85" s="384">
        <f t="shared" si="46"/>
        <v>0</v>
      </c>
      <c r="G85" s="393">
        <f t="shared" si="46"/>
        <v>0</v>
      </c>
      <c r="H85" s="393">
        <f t="shared" si="46"/>
        <v>0</v>
      </c>
      <c r="I85" s="384">
        <f t="shared" si="46"/>
        <v>0</v>
      </c>
      <c r="J85" s="979">
        <f t="shared" si="46"/>
        <v>0</v>
      </c>
      <c r="K85" s="384">
        <f t="shared" si="46"/>
        <v>0</v>
      </c>
      <c r="L85" s="393">
        <f t="shared" si="46"/>
        <v>0</v>
      </c>
      <c r="M85" s="384">
        <f t="shared" si="46"/>
        <v>0</v>
      </c>
      <c r="N85" s="401">
        <f t="shared" si="46"/>
        <v>0</v>
      </c>
      <c r="O85" s="1522"/>
      <c r="P85" s="1523"/>
      <c r="Q85" s="378">
        <f t="shared" si="41"/>
        <v>0</v>
      </c>
      <c r="R85" s="393">
        <f t="shared" si="42"/>
        <v>0</v>
      </c>
      <c r="S85" s="393">
        <f>+S86</f>
        <v>0</v>
      </c>
      <c r="T85" s="993">
        <f t="shared" ref="T85" si="47">+T86</f>
        <v>0</v>
      </c>
      <c r="U85" s="982">
        <f>+U86</f>
        <v>0</v>
      </c>
    </row>
    <row r="86" spans="1:21" ht="25.5">
      <c r="A86" s="441" t="s">
        <v>770</v>
      </c>
      <c r="B86" s="445" t="s">
        <v>771</v>
      </c>
      <c r="C86" s="410">
        <v>75</v>
      </c>
      <c r="D86" s="463"/>
      <c r="E86" s="461"/>
      <c r="F86" s="460"/>
      <c r="G86" s="461"/>
      <c r="H86" s="461"/>
      <c r="I86" s="381">
        <f>+F86*J86</f>
        <v>0</v>
      </c>
      <c r="J86" s="976"/>
      <c r="K86" s="460"/>
      <c r="L86" s="461"/>
      <c r="M86" s="460"/>
      <c r="N86" s="464"/>
      <c r="O86" s="1522"/>
      <c r="P86" s="1523"/>
      <c r="Q86" s="379">
        <f t="shared" si="41"/>
        <v>0</v>
      </c>
      <c r="R86" s="394">
        <f t="shared" si="42"/>
        <v>0</v>
      </c>
      <c r="S86" s="461"/>
      <c r="T86" s="1059">
        <f>+Q86*U86</f>
        <v>0</v>
      </c>
      <c r="U86" s="984"/>
    </row>
    <row r="87" spans="1:21" ht="25.5">
      <c r="A87" s="447">
        <v>7</v>
      </c>
      <c r="B87" s="438" t="s">
        <v>772</v>
      </c>
      <c r="C87" s="411">
        <v>76</v>
      </c>
      <c r="D87" s="415">
        <f>+D88+D92+D98</f>
        <v>0</v>
      </c>
      <c r="E87" s="391">
        <f>+E88+E92+E98</f>
        <v>0</v>
      </c>
      <c r="F87" s="382">
        <f>+F88+F92+F98</f>
        <v>0</v>
      </c>
      <c r="G87" s="391">
        <f>+G88+G92+G98</f>
        <v>0</v>
      </c>
      <c r="H87" s="1070" t="str">
        <f ca="1">+IFERROR(SUM(H89:H91,H93:H97,H99:H100)/SUM(COUNTIF(INDIRECT({"H89:H91","H93:H97","H99:H100"}),"&gt;0")),"")</f>
        <v/>
      </c>
      <c r="I87" s="382">
        <f>+I88+I92+I98</f>
        <v>0</v>
      </c>
      <c r="J87" s="977" t="e">
        <f>+I87/F87</f>
        <v>#DIV/0!</v>
      </c>
      <c r="K87" s="382">
        <f>+K88+K92+K98</f>
        <v>0</v>
      </c>
      <c r="L87" s="391">
        <f>+L88+L92+L98</f>
        <v>0</v>
      </c>
      <c r="M87" s="382">
        <f>+M88+M92+M98</f>
        <v>0</v>
      </c>
      <c r="N87" s="403">
        <f>+N88+N92+N98</f>
        <v>0</v>
      </c>
      <c r="O87" s="1522"/>
      <c r="P87" s="1523"/>
      <c r="Q87" s="388">
        <f t="shared" si="41"/>
        <v>0</v>
      </c>
      <c r="R87" s="391">
        <f t="shared" si="42"/>
        <v>0</v>
      </c>
      <c r="S87" s="391" t="str">
        <f ca="1">+IFERROR(SUM(S89:S91,S93:S97,S99:S100)/SUM(COUNTIF(INDIRECT({"S89:S91","S93:S97","S99:S100"}),"&gt;0")),"")</f>
        <v/>
      </c>
      <c r="T87" s="992">
        <f>+T88+T92+T98</f>
        <v>0</v>
      </c>
      <c r="U87" s="981" t="e">
        <f>+(Q89*U89+Q90*U90+Q91*U91+Q93*U93+Q94*U94+Q95*U95+Q96*U96+Q97*U97+Q99*U99+Q100*U100)/Q87</f>
        <v>#DIV/0!</v>
      </c>
    </row>
    <row r="88" spans="1:21">
      <c r="A88" s="443">
        <v>7.1</v>
      </c>
      <c r="B88" s="440" t="s">
        <v>773</v>
      </c>
      <c r="C88" s="408">
        <v>77</v>
      </c>
      <c r="D88" s="416">
        <f>+SUM(D89:D91)</f>
        <v>0</v>
      </c>
      <c r="E88" s="392">
        <f>+SUM(E89:E91)</f>
        <v>0</v>
      </c>
      <c r="F88" s="383">
        <f>+SUM(F89:F91)</f>
        <v>0</v>
      </c>
      <c r="G88" s="392">
        <f>+SUM(G89:G91)</f>
        <v>0</v>
      </c>
      <c r="H88" s="393" t="str">
        <f>IFERROR(AVERAGE(H79:H81),"")</f>
        <v/>
      </c>
      <c r="I88" s="383">
        <f>+SUM(I89:I91)</f>
        <v>0</v>
      </c>
      <c r="J88" s="978" t="e">
        <f>+(F89*J89+F90*J90+F91*J91)/F88</f>
        <v>#DIV/0!</v>
      </c>
      <c r="K88" s="383">
        <f>+SUM(K89:K91)</f>
        <v>0</v>
      </c>
      <c r="L88" s="392">
        <f>+SUM(L89:L91)</f>
        <v>0</v>
      </c>
      <c r="M88" s="383">
        <f>+SUM(M89:M91)</f>
        <v>0</v>
      </c>
      <c r="N88" s="400">
        <f>+SUM(N89:N91)</f>
        <v>0</v>
      </c>
      <c r="O88" s="1522"/>
      <c r="P88" s="1523"/>
      <c r="Q88" s="377">
        <f t="shared" si="41"/>
        <v>0</v>
      </c>
      <c r="R88" s="392">
        <f t="shared" si="42"/>
        <v>0</v>
      </c>
      <c r="S88" s="392" t="str">
        <f>IFERROR(AVERAGE(S79:S81),"")</f>
        <v/>
      </c>
      <c r="T88" s="994">
        <f>+SUM(T89:T91)</f>
        <v>0</v>
      </c>
      <c r="U88" s="985" t="e">
        <f>+(Q89*U89+Q90*U90+Q91*U91)/Q88</f>
        <v>#DIV/0!</v>
      </c>
    </row>
    <row r="89" spans="1:21" ht="25.5">
      <c r="A89" s="441" t="s">
        <v>774</v>
      </c>
      <c r="B89" s="442" t="s">
        <v>775</v>
      </c>
      <c r="C89" s="405">
        <v>78</v>
      </c>
      <c r="D89" s="453"/>
      <c r="E89" s="454"/>
      <c r="F89" s="459"/>
      <c r="G89" s="454"/>
      <c r="H89" s="454"/>
      <c r="I89" s="381">
        <f t="shared" ref="I89:I91" si="48">+F89*J89</f>
        <v>0</v>
      </c>
      <c r="J89" s="975"/>
      <c r="K89" s="459"/>
      <c r="L89" s="454"/>
      <c r="M89" s="459"/>
      <c r="N89" s="462"/>
      <c r="O89" s="1522"/>
      <c r="P89" s="1523"/>
      <c r="Q89" s="375">
        <f t="shared" si="41"/>
        <v>0</v>
      </c>
      <c r="R89" s="390">
        <f t="shared" si="42"/>
        <v>0</v>
      </c>
      <c r="S89" s="454"/>
      <c r="T89" s="1058">
        <f t="shared" ref="T89:T91" si="49">+Q89*U89</f>
        <v>0</v>
      </c>
      <c r="U89" s="983"/>
    </row>
    <row r="90" spans="1:21">
      <c r="A90" s="441" t="s">
        <v>776</v>
      </c>
      <c r="B90" s="442" t="s">
        <v>777</v>
      </c>
      <c r="C90" s="405">
        <v>79</v>
      </c>
      <c r="D90" s="453"/>
      <c r="E90" s="454"/>
      <c r="F90" s="459"/>
      <c r="G90" s="454"/>
      <c r="H90" s="454"/>
      <c r="I90" s="381">
        <f t="shared" si="48"/>
        <v>0</v>
      </c>
      <c r="J90" s="975"/>
      <c r="K90" s="459"/>
      <c r="L90" s="454"/>
      <c r="M90" s="459"/>
      <c r="N90" s="462"/>
      <c r="O90" s="1522"/>
      <c r="P90" s="1523"/>
      <c r="Q90" s="375">
        <f t="shared" si="41"/>
        <v>0</v>
      </c>
      <c r="R90" s="390">
        <f t="shared" si="42"/>
        <v>0</v>
      </c>
      <c r="S90" s="454"/>
      <c r="T90" s="1058">
        <f t="shared" si="49"/>
        <v>0</v>
      </c>
      <c r="U90" s="983"/>
    </row>
    <row r="91" spans="1:21">
      <c r="A91" s="441" t="s">
        <v>778</v>
      </c>
      <c r="B91" s="442" t="s">
        <v>779</v>
      </c>
      <c r="C91" s="405">
        <v>80</v>
      </c>
      <c r="D91" s="453"/>
      <c r="E91" s="454"/>
      <c r="F91" s="459"/>
      <c r="G91" s="454"/>
      <c r="H91" s="454"/>
      <c r="I91" s="381">
        <f t="shared" si="48"/>
        <v>0</v>
      </c>
      <c r="J91" s="975"/>
      <c r="K91" s="459"/>
      <c r="L91" s="454"/>
      <c r="M91" s="459"/>
      <c r="N91" s="462"/>
      <c r="O91" s="1522"/>
      <c r="P91" s="1523"/>
      <c r="Q91" s="375">
        <f t="shared" si="41"/>
        <v>0</v>
      </c>
      <c r="R91" s="390">
        <f t="shared" si="42"/>
        <v>0</v>
      </c>
      <c r="S91" s="454"/>
      <c r="T91" s="1058">
        <f t="shared" si="49"/>
        <v>0</v>
      </c>
      <c r="U91" s="983"/>
    </row>
    <row r="92" spans="1:21">
      <c r="A92" s="443">
        <v>7.2</v>
      </c>
      <c r="B92" s="444" t="s">
        <v>780</v>
      </c>
      <c r="C92" s="409">
        <v>81</v>
      </c>
      <c r="D92" s="417">
        <f>+SUM(D93:D97)</f>
        <v>0</v>
      </c>
      <c r="E92" s="393">
        <f>+SUM(E93:E97)</f>
        <v>0</v>
      </c>
      <c r="F92" s="384">
        <f>+SUM(F93:F97)</f>
        <v>0</v>
      </c>
      <c r="G92" s="393">
        <f>+SUM(G93:G97)</f>
        <v>0</v>
      </c>
      <c r="H92" s="392" t="str">
        <f>IFERROR(AVERAGE(H93:H97),"")</f>
        <v/>
      </c>
      <c r="I92" s="384">
        <f>+SUM(I93:I97)</f>
        <v>0</v>
      </c>
      <c r="J92" s="979" t="e">
        <f>+(F93*J93+F94*J94+F95*J95+F96*J96+F97*J97)/F92</f>
        <v>#DIV/0!</v>
      </c>
      <c r="K92" s="384">
        <f>+SUM(K93:K97)</f>
        <v>0</v>
      </c>
      <c r="L92" s="393">
        <f>+SUM(L93:L97)</f>
        <v>0</v>
      </c>
      <c r="M92" s="384">
        <f>+SUM(M93:M97)</f>
        <v>0</v>
      </c>
      <c r="N92" s="401">
        <f>+SUM(N93:N97)</f>
        <v>0</v>
      </c>
      <c r="O92" s="1522"/>
      <c r="P92" s="1523"/>
      <c r="Q92" s="378">
        <f t="shared" si="41"/>
        <v>0</v>
      </c>
      <c r="R92" s="393">
        <f t="shared" si="42"/>
        <v>0</v>
      </c>
      <c r="S92" s="393" t="str">
        <f>IFERROR(AVERAGE(S93:S97),"")</f>
        <v/>
      </c>
      <c r="T92" s="993">
        <f>+SUM(T93:T97)</f>
        <v>0</v>
      </c>
      <c r="U92" s="982" t="e">
        <f>+(Q93*U93+Q94*U94+Q95*U95+Q96*U96+Q97*U97)/Q92</f>
        <v>#DIV/0!</v>
      </c>
    </row>
    <row r="93" spans="1:21">
      <c r="A93" s="441" t="s">
        <v>781</v>
      </c>
      <c r="B93" s="442" t="s">
        <v>782</v>
      </c>
      <c r="C93" s="405">
        <v>82</v>
      </c>
      <c r="D93" s="453"/>
      <c r="E93" s="454"/>
      <c r="F93" s="459"/>
      <c r="G93" s="454"/>
      <c r="H93" s="454"/>
      <c r="I93" s="381"/>
      <c r="J93" s="975"/>
      <c r="K93" s="459"/>
      <c r="L93" s="454"/>
      <c r="M93" s="459"/>
      <c r="N93" s="462"/>
      <c r="O93" s="1522"/>
      <c r="P93" s="1523"/>
      <c r="Q93" s="375">
        <f t="shared" si="41"/>
        <v>0</v>
      </c>
      <c r="R93" s="390">
        <f t="shared" si="42"/>
        <v>0</v>
      </c>
      <c r="S93" s="454"/>
      <c r="T93" s="1058">
        <f t="shared" ref="T93:T97" si="50">+Q93*U93</f>
        <v>0</v>
      </c>
      <c r="U93" s="983"/>
    </row>
    <row r="94" spans="1:21">
      <c r="A94" s="441" t="s">
        <v>783</v>
      </c>
      <c r="B94" s="442" t="s">
        <v>784</v>
      </c>
      <c r="C94" s="405">
        <v>83</v>
      </c>
      <c r="D94" s="453"/>
      <c r="E94" s="454"/>
      <c r="F94" s="459"/>
      <c r="G94" s="454"/>
      <c r="H94" s="454"/>
      <c r="I94" s="381">
        <f t="shared" ref="I94:I97" si="51">+F94*J94</f>
        <v>0</v>
      </c>
      <c r="J94" s="975"/>
      <c r="K94" s="459"/>
      <c r="L94" s="454"/>
      <c r="M94" s="459"/>
      <c r="N94" s="462"/>
      <c r="O94" s="1522"/>
      <c r="P94" s="1523"/>
      <c r="Q94" s="375">
        <f t="shared" si="41"/>
        <v>0</v>
      </c>
      <c r="R94" s="390">
        <f t="shared" si="42"/>
        <v>0</v>
      </c>
      <c r="S94" s="454"/>
      <c r="T94" s="1058">
        <f t="shared" si="50"/>
        <v>0</v>
      </c>
      <c r="U94" s="983"/>
    </row>
    <row r="95" spans="1:21" ht="25.5">
      <c r="A95" s="441" t="s">
        <v>785</v>
      </c>
      <c r="B95" s="442" t="s">
        <v>786</v>
      </c>
      <c r="C95" s="405">
        <v>84</v>
      </c>
      <c r="D95" s="453"/>
      <c r="E95" s="454"/>
      <c r="F95" s="459"/>
      <c r="G95" s="454"/>
      <c r="H95" s="454"/>
      <c r="I95" s="381">
        <f t="shared" si="51"/>
        <v>0</v>
      </c>
      <c r="J95" s="975"/>
      <c r="K95" s="459"/>
      <c r="L95" s="454"/>
      <c r="M95" s="459"/>
      <c r="N95" s="462"/>
      <c r="O95" s="1522"/>
      <c r="P95" s="1523"/>
      <c r="Q95" s="375">
        <f t="shared" si="41"/>
        <v>0</v>
      </c>
      <c r="R95" s="390">
        <f t="shared" si="42"/>
        <v>0</v>
      </c>
      <c r="S95" s="454"/>
      <c r="T95" s="1058">
        <f t="shared" si="50"/>
        <v>0</v>
      </c>
      <c r="U95" s="983"/>
    </row>
    <row r="96" spans="1:21" ht="25.5">
      <c r="A96" s="441" t="s">
        <v>787</v>
      </c>
      <c r="B96" s="442" t="s">
        <v>788</v>
      </c>
      <c r="C96" s="405">
        <v>85</v>
      </c>
      <c r="D96" s="453"/>
      <c r="E96" s="454"/>
      <c r="F96" s="459"/>
      <c r="G96" s="454"/>
      <c r="H96" s="454"/>
      <c r="I96" s="381">
        <f t="shared" si="51"/>
        <v>0</v>
      </c>
      <c r="J96" s="975"/>
      <c r="K96" s="459"/>
      <c r="L96" s="454"/>
      <c r="M96" s="459"/>
      <c r="N96" s="462"/>
      <c r="O96" s="1522"/>
      <c r="P96" s="1523"/>
      <c r="Q96" s="375">
        <f t="shared" si="41"/>
        <v>0</v>
      </c>
      <c r="R96" s="390">
        <f t="shared" si="42"/>
        <v>0</v>
      </c>
      <c r="S96" s="454"/>
      <c r="T96" s="1058">
        <f t="shared" si="50"/>
        <v>0</v>
      </c>
      <c r="U96" s="983"/>
    </row>
    <row r="97" spans="1:21">
      <c r="A97" s="441" t="s">
        <v>789</v>
      </c>
      <c r="B97" s="442" t="s">
        <v>790</v>
      </c>
      <c r="C97" s="405">
        <v>86</v>
      </c>
      <c r="D97" s="453"/>
      <c r="E97" s="454"/>
      <c r="F97" s="459"/>
      <c r="G97" s="454"/>
      <c r="H97" s="454"/>
      <c r="I97" s="381">
        <f t="shared" si="51"/>
        <v>0</v>
      </c>
      <c r="J97" s="975"/>
      <c r="K97" s="459"/>
      <c r="L97" s="454"/>
      <c r="M97" s="459"/>
      <c r="N97" s="462"/>
      <c r="O97" s="1522"/>
      <c r="P97" s="1523"/>
      <c r="Q97" s="375">
        <f t="shared" si="41"/>
        <v>0</v>
      </c>
      <c r="R97" s="390">
        <f t="shared" si="42"/>
        <v>0</v>
      </c>
      <c r="S97" s="454"/>
      <c r="T97" s="1058">
        <f t="shared" si="50"/>
        <v>0</v>
      </c>
      <c r="U97" s="983"/>
    </row>
    <row r="98" spans="1:21">
      <c r="A98" s="443">
        <v>7.3</v>
      </c>
      <c r="B98" s="444" t="s">
        <v>791</v>
      </c>
      <c r="C98" s="409">
        <v>87</v>
      </c>
      <c r="D98" s="417">
        <f>+SUM(D99:D100)</f>
        <v>0</v>
      </c>
      <c r="E98" s="393">
        <f>+SUM(E99:E100)</f>
        <v>0</v>
      </c>
      <c r="F98" s="384">
        <f>+SUM(F99:F100)</f>
        <v>0</v>
      </c>
      <c r="G98" s="393">
        <f>+SUM(G99:G100)</f>
        <v>0</v>
      </c>
      <c r="H98" s="392" t="str">
        <f>IFERROR(AVERAGE(H99:H100),"")</f>
        <v/>
      </c>
      <c r="I98" s="384">
        <f>+SUM(I99:I100)</f>
        <v>0</v>
      </c>
      <c r="J98" s="979" t="e">
        <f>+(F99*J99+F100*J100)/F98</f>
        <v>#DIV/0!</v>
      </c>
      <c r="K98" s="384">
        <f>+SUM(K99:K100)</f>
        <v>0</v>
      </c>
      <c r="L98" s="393">
        <f>+SUM(L99:L100)</f>
        <v>0</v>
      </c>
      <c r="M98" s="384">
        <f>+SUM(M99:M100)</f>
        <v>0</v>
      </c>
      <c r="N98" s="401">
        <f>+SUM(N99:N100)</f>
        <v>0</v>
      </c>
      <c r="O98" s="1522"/>
      <c r="P98" s="1523"/>
      <c r="Q98" s="378">
        <f t="shared" si="41"/>
        <v>0</v>
      </c>
      <c r="R98" s="393">
        <f t="shared" si="42"/>
        <v>0</v>
      </c>
      <c r="S98" s="393" t="str">
        <f>IFERROR(AVERAGE(S99:S100),"")</f>
        <v/>
      </c>
      <c r="T98" s="993">
        <f>+SUM(T99:T100)</f>
        <v>0</v>
      </c>
      <c r="U98" s="982" t="e">
        <f>+(Q99*U99+Q100*U100)/Q98</f>
        <v>#DIV/0!</v>
      </c>
    </row>
    <row r="99" spans="1:21" ht="25.5">
      <c r="A99" s="441" t="s">
        <v>792</v>
      </c>
      <c r="B99" s="442" t="s">
        <v>793</v>
      </c>
      <c r="C99" s="405">
        <v>88</v>
      </c>
      <c r="D99" s="453"/>
      <c r="E99" s="454"/>
      <c r="F99" s="459"/>
      <c r="G99" s="454"/>
      <c r="H99" s="454"/>
      <c r="I99" s="381">
        <f t="shared" ref="I99:I100" si="52">+F99*J99</f>
        <v>0</v>
      </c>
      <c r="J99" s="975"/>
      <c r="K99" s="459"/>
      <c r="L99" s="454"/>
      <c r="M99" s="459"/>
      <c r="N99" s="462"/>
      <c r="O99" s="1522"/>
      <c r="P99" s="1523"/>
      <c r="Q99" s="375">
        <f t="shared" si="41"/>
        <v>0</v>
      </c>
      <c r="R99" s="390">
        <f t="shared" si="42"/>
        <v>0</v>
      </c>
      <c r="S99" s="454"/>
      <c r="T99" s="1058">
        <f t="shared" ref="T99:T100" si="53">+Q99*U99</f>
        <v>0</v>
      </c>
      <c r="U99" s="983"/>
    </row>
    <row r="100" spans="1:21">
      <c r="A100" s="441" t="s">
        <v>794</v>
      </c>
      <c r="B100" s="445" t="s">
        <v>795</v>
      </c>
      <c r="C100" s="410">
        <v>89</v>
      </c>
      <c r="D100" s="463"/>
      <c r="E100" s="461"/>
      <c r="F100" s="460"/>
      <c r="G100" s="461"/>
      <c r="H100" s="461"/>
      <c r="I100" s="381">
        <f t="shared" si="52"/>
        <v>0</v>
      </c>
      <c r="J100" s="976"/>
      <c r="K100" s="460"/>
      <c r="L100" s="461"/>
      <c r="M100" s="460"/>
      <c r="N100" s="464"/>
      <c r="O100" s="1522"/>
      <c r="P100" s="1523"/>
      <c r="Q100" s="379">
        <f t="shared" si="41"/>
        <v>0</v>
      </c>
      <c r="R100" s="394">
        <f t="shared" si="42"/>
        <v>0</v>
      </c>
      <c r="S100" s="461"/>
      <c r="T100" s="1059">
        <f t="shared" si="53"/>
        <v>0</v>
      </c>
      <c r="U100" s="984"/>
    </row>
    <row r="101" spans="1:21">
      <c r="A101" s="447">
        <v>8</v>
      </c>
      <c r="B101" s="438" t="s">
        <v>796</v>
      </c>
      <c r="C101" s="411">
        <v>90</v>
      </c>
      <c r="D101" s="415">
        <f>+D102+D105+D107+D111</f>
        <v>0</v>
      </c>
      <c r="E101" s="391">
        <f>+E102+E105+E107+E111</f>
        <v>0</v>
      </c>
      <c r="F101" s="382">
        <f>+F102+F105+F107+F111</f>
        <v>0</v>
      </c>
      <c r="G101" s="391">
        <f>+G102+G105+G107+G111</f>
        <v>0</v>
      </c>
      <c r="H101" s="1070" t="str">
        <f ca="1">+IFERROR(SUM(H103:H104,H106,H108:H110,H112)/SUM(COUNTIF(INDIRECT({"H103:H104","H106","H108:H110","H112"}),"&gt;0")),"")</f>
        <v/>
      </c>
      <c r="I101" s="382">
        <f>+I102+I105+I107+I111</f>
        <v>0</v>
      </c>
      <c r="J101" s="977" t="e">
        <f>+I101/F101</f>
        <v>#DIV/0!</v>
      </c>
      <c r="K101" s="382">
        <f>+K102+K105+K107+K111</f>
        <v>0</v>
      </c>
      <c r="L101" s="391">
        <f>+L102+L105+L107+L111</f>
        <v>0</v>
      </c>
      <c r="M101" s="382">
        <f>+M102+M105+M107+M111</f>
        <v>0</v>
      </c>
      <c r="N101" s="403">
        <f>+N102+N105+N107+N111</f>
        <v>0</v>
      </c>
      <c r="O101" s="1522"/>
      <c r="P101" s="1523"/>
      <c r="Q101" s="388">
        <f t="shared" si="41"/>
        <v>0</v>
      </c>
      <c r="R101" s="391">
        <f t="shared" si="42"/>
        <v>0</v>
      </c>
      <c r="S101" s="391" t="str">
        <f ca="1">+IFERROR(SUM(S103:S104,S106,S108:S110,S112)/SUM(COUNTIF(INDIRECT({"S103:S104","S106","S108:S110","S112"}),"&gt;0")),"")</f>
        <v/>
      </c>
      <c r="T101" s="992">
        <f>+T102+T105+T107+T111</f>
        <v>0</v>
      </c>
      <c r="U101" s="981" t="e">
        <f>+(Q103*U103+Q104*U104+Q106*U106+Q108*U108+Q109*U109+Q110*U110+Q112*U112)/Q101</f>
        <v>#DIV/0!</v>
      </c>
    </row>
    <row r="102" spans="1:21" ht="25.5" customHeight="1">
      <c r="A102" s="443">
        <v>8.1</v>
      </c>
      <c r="B102" s="440" t="s">
        <v>797</v>
      </c>
      <c r="C102" s="408">
        <v>91</v>
      </c>
      <c r="D102" s="416">
        <f>+SUM(D103:D104)</f>
        <v>0</v>
      </c>
      <c r="E102" s="392">
        <f>+SUM(E103:E104)</f>
        <v>0</v>
      </c>
      <c r="F102" s="383">
        <f>+SUM(F103:F104)</f>
        <v>0</v>
      </c>
      <c r="G102" s="392">
        <f>+SUM(G103:G104)</f>
        <v>0</v>
      </c>
      <c r="H102" s="392" t="str">
        <f>IFERROR(AVERAGE(H103:H104),"")</f>
        <v/>
      </c>
      <c r="I102" s="383">
        <f>+SUM(I103:I104)</f>
        <v>0</v>
      </c>
      <c r="J102" s="978" t="e">
        <f>+(F103*J103+F104*J104)/F102</f>
        <v>#DIV/0!</v>
      </c>
      <c r="K102" s="383">
        <f>+SUM(K103:K104)</f>
        <v>0</v>
      </c>
      <c r="L102" s="392">
        <f>+SUM(L103:L104)</f>
        <v>0</v>
      </c>
      <c r="M102" s="383">
        <f>+SUM(M103:M104)</f>
        <v>0</v>
      </c>
      <c r="N102" s="400">
        <f>+SUM(N103:N104)</f>
        <v>0</v>
      </c>
      <c r="O102" s="1522"/>
      <c r="P102" s="1523"/>
      <c r="Q102" s="377">
        <f t="shared" si="41"/>
        <v>0</v>
      </c>
      <c r="R102" s="392">
        <f t="shared" si="42"/>
        <v>0</v>
      </c>
      <c r="S102" s="392" t="str">
        <f>IFERROR(AVERAGE(S103:S104),"")</f>
        <v/>
      </c>
      <c r="T102" s="994">
        <f>+SUM(T103:T104)</f>
        <v>0</v>
      </c>
      <c r="U102" s="985" t="e">
        <f>+(Q103*U103+Q104*U104)/Q102</f>
        <v>#DIV/0!</v>
      </c>
    </row>
    <row r="103" spans="1:21" ht="25.5">
      <c r="A103" s="441" t="s">
        <v>798</v>
      </c>
      <c r="B103" s="442" t="s">
        <v>799</v>
      </c>
      <c r="C103" s="405">
        <v>92</v>
      </c>
      <c r="D103" s="453"/>
      <c r="E103" s="454"/>
      <c r="F103" s="459"/>
      <c r="G103" s="454"/>
      <c r="H103" s="454"/>
      <c r="I103" s="381">
        <f t="shared" ref="I103:I104" si="54">+F103*J103</f>
        <v>0</v>
      </c>
      <c r="J103" s="975"/>
      <c r="K103" s="459"/>
      <c r="L103" s="454"/>
      <c r="M103" s="459"/>
      <c r="N103" s="462"/>
      <c r="O103" s="1522"/>
      <c r="P103" s="1523"/>
      <c r="Q103" s="375">
        <f t="shared" si="41"/>
        <v>0</v>
      </c>
      <c r="R103" s="390">
        <f t="shared" si="42"/>
        <v>0</v>
      </c>
      <c r="S103" s="454"/>
      <c r="T103" s="1058">
        <f t="shared" ref="T103:T104" si="55">+Q103*U103</f>
        <v>0</v>
      </c>
      <c r="U103" s="983"/>
    </row>
    <row r="104" spans="1:21" ht="25.5">
      <c r="A104" s="441" t="s">
        <v>800</v>
      </c>
      <c r="B104" s="442" t="s">
        <v>801</v>
      </c>
      <c r="C104" s="405">
        <v>93</v>
      </c>
      <c r="D104" s="453"/>
      <c r="E104" s="454"/>
      <c r="F104" s="459"/>
      <c r="G104" s="454"/>
      <c r="H104" s="454"/>
      <c r="I104" s="381">
        <f t="shared" si="54"/>
        <v>0</v>
      </c>
      <c r="J104" s="975"/>
      <c r="K104" s="459"/>
      <c r="L104" s="454"/>
      <c r="M104" s="459"/>
      <c r="N104" s="462"/>
      <c r="O104" s="1522"/>
      <c r="P104" s="1523"/>
      <c r="Q104" s="375">
        <f t="shared" si="41"/>
        <v>0</v>
      </c>
      <c r="R104" s="390">
        <f t="shared" si="42"/>
        <v>0</v>
      </c>
      <c r="S104" s="454"/>
      <c r="T104" s="1058">
        <f t="shared" si="55"/>
        <v>0</v>
      </c>
      <c r="U104" s="983"/>
    </row>
    <row r="105" spans="1:21" ht="25.5">
      <c r="A105" s="443">
        <v>8.1999999999999993</v>
      </c>
      <c r="B105" s="444" t="s">
        <v>802</v>
      </c>
      <c r="C105" s="409">
        <v>94</v>
      </c>
      <c r="D105" s="417">
        <f t="shared" ref="D105:N105" si="56">+D106</f>
        <v>0</v>
      </c>
      <c r="E105" s="393">
        <f t="shared" si="56"/>
        <v>0</v>
      </c>
      <c r="F105" s="384">
        <f t="shared" si="56"/>
        <v>0</v>
      </c>
      <c r="G105" s="393">
        <f t="shared" si="56"/>
        <v>0</v>
      </c>
      <c r="H105" s="393">
        <f t="shared" si="56"/>
        <v>0</v>
      </c>
      <c r="I105" s="384">
        <f>+I106</f>
        <v>0</v>
      </c>
      <c r="J105" s="979">
        <f t="shared" si="56"/>
        <v>0</v>
      </c>
      <c r="K105" s="384">
        <f t="shared" si="56"/>
        <v>0</v>
      </c>
      <c r="L105" s="393">
        <f t="shared" si="56"/>
        <v>0</v>
      </c>
      <c r="M105" s="384">
        <f t="shared" si="56"/>
        <v>0</v>
      </c>
      <c r="N105" s="401">
        <f t="shared" si="56"/>
        <v>0</v>
      </c>
      <c r="O105" s="1522"/>
      <c r="P105" s="1523"/>
      <c r="Q105" s="378">
        <f t="shared" si="41"/>
        <v>0</v>
      </c>
      <c r="R105" s="393">
        <f t="shared" si="42"/>
        <v>0</v>
      </c>
      <c r="S105" s="393">
        <f>+S106</f>
        <v>0</v>
      </c>
      <c r="T105" s="993">
        <f>+T106</f>
        <v>0</v>
      </c>
      <c r="U105" s="982">
        <f>+U106</f>
        <v>0</v>
      </c>
    </row>
    <row r="106" spans="1:21" ht="25.5">
      <c r="A106" s="441" t="s">
        <v>803</v>
      </c>
      <c r="B106" s="442" t="s">
        <v>802</v>
      </c>
      <c r="C106" s="405">
        <v>95</v>
      </c>
      <c r="D106" s="453"/>
      <c r="E106" s="454"/>
      <c r="F106" s="459"/>
      <c r="G106" s="454"/>
      <c r="H106" s="454"/>
      <c r="I106" s="381">
        <f>+F106*J106</f>
        <v>0</v>
      </c>
      <c r="J106" s="975"/>
      <c r="K106" s="459"/>
      <c r="L106" s="454"/>
      <c r="M106" s="459"/>
      <c r="N106" s="462"/>
      <c r="O106" s="1522"/>
      <c r="P106" s="1523"/>
      <c r="Q106" s="375">
        <f t="shared" si="41"/>
        <v>0</v>
      </c>
      <c r="R106" s="390">
        <f t="shared" si="42"/>
        <v>0</v>
      </c>
      <c r="S106" s="454"/>
      <c r="T106" s="1058">
        <f>+Q106*U106</f>
        <v>0</v>
      </c>
      <c r="U106" s="983"/>
    </row>
    <row r="107" spans="1:21">
      <c r="A107" s="443">
        <v>8.3000000000000007</v>
      </c>
      <c r="B107" s="444" t="s">
        <v>804</v>
      </c>
      <c r="C107" s="409">
        <v>96</v>
      </c>
      <c r="D107" s="417">
        <f>+SUM(D108:D110)</f>
        <v>0</v>
      </c>
      <c r="E107" s="393">
        <f>+SUM(E108:E110)</f>
        <v>0</v>
      </c>
      <c r="F107" s="384">
        <f>+SUM(F108:F110)</f>
        <v>0</v>
      </c>
      <c r="G107" s="393">
        <f>+SUM(G108:G110)</f>
        <v>0</v>
      </c>
      <c r="H107" s="393" t="str">
        <f>IFERROR(AVERAGE(H98:H100),"")</f>
        <v/>
      </c>
      <c r="I107" s="384">
        <f>+SUM(I108:I110)</f>
        <v>0</v>
      </c>
      <c r="J107" s="979" t="e">
        <f>+(F108*J108+F109*J109+F110*J110)/F107</f>
        <v>#DIV/0!</v>
      </c>
      <c r="K107" s="384">
        <f>+SUM(K108:K110)</f>
        <v>0</v>
      </c>
      <c r="L107" s="393">
        <f>+SUM(L108:L110)</f>
        <v>0</v>
      </c>
      <c r="M107" s="384">
        <f>+SUM(M108:M110)</f>
        <v>0</v>
      </c>
      <c r="N107" s="401">
        <f>+SUM(N108:N110)</f>
        <v>0</v>
      </c>
      <c r="O107" s="1522"/>
      <c r="P107" s="1523"/>
      <c r="Q107" s="378">
        <f t="shared" si="41"/>
        <v>0</v>
      </c>
      <c r="R107" s="393">
        <f t="shared" si="42"/>
        <v>0</v>
      </c>
      <c r="S107" s="393" t="str">
        <f>IFERROR(AVERAGE(S98:S100),"")</f>
        <v/>
      </c>
      <c r="T107" s="993">
        <f>+SUM(T108:T110)</f>
        <v>0</v>
      </c>
      <c r="U107" s="982" t="e">
        <f>+(Q108*U108+Q109*U109+Q110*U110)/Q107</f>
        <v>#DIV/0!</v>
      </c>
    </row>
    <row r="108" spans="1:21">
      <c r="A108" s="441" t="s">
        <v>805</v>
      </c>
      <c r="B108" s="442" t="s">
        <v>806</v>
      </c>
      <c r="C108" s="405">
        <v>97</v>
      </c>
      <c r="D108" s="453"/>
      <c r="E108" s="454"/>
      <c r="F108" s="459"/>
      <c r="G108" s="454"/>
      <c r="H108" s="454"/>
      <c r="I108" s="381">
        <f t="shared" ref="I108:I110" si="57">+F108*J108</f>
        <v>0</v>
      </c>
      <c r="J108" s="975"/>
      <c r="K108" s="459"/>
      <c r="L108" s="454"/>
      <c r="M108" s="459"/>
      <c r="N108" s="462"/>
      <c r="O108" s="1522"/>
      <c r="P108" s="1523"/>
      <c r="Q108" s="375">
        <f t="shared" si="41"/>
        <v>0</v>
      </c>
      <c r="R108" s="390">
        <f t="shared" si="42"/>
        <v>0</v>
      </c>
      <c r="S108" s="454"/>
      <c r="T108" s="1058">
        <f t="shared" ref="T108:T110" si="58">+Q108*U108</f>
        <v>0</v>
      </c>
      <c r="U108" s="983"/>
    </row>
    <row r="109" spans="1:21" ht="25.5">
      <c r="A109" s="441" t="s">
        <v>807</v>
      </c>
      <c r="B109" s="442" t="s">
        <v>808</v>
      </c>
      <c r="C109" s="405">
        <v>98</v>
      </c>
      <c r="D109" s="453"/>
      <c r="E109" s="454"/>
      <c r="F109" s="459"/>
      <c r="G109" s="454"/>
      <c r="H109" s="454"/>
      <c r="I109" s="381"/>
      <c r="J109" s="975"/>
      <c r="K109" s="459"/>
      <c r="L109" s="454"/>
      <c r="M109" s="459"/>
      <c r="N109" s="462"/>
      <c r="O109" s="1522"/>
      <c r="P109" s="1523"/>
      <c r="Q109" s="375">
        <f t="shared" si="41"/>
        <v>0</v>
      </c>
      <c r="R109" s="390">
        <f t="shared" si="42"/>
        <v>0</v>
      </c>
      <c r="S109" s="454"/>
      <c r="T109" s="1058">
        <f t="shared" si="58"/>
        <v>0</v>
      </c>
      <c r="U109" s="983"/>
    </row>
    <row r="110" spans="1:21" ht="25.5">
      <c r="A110" s="441" t="s">
        <v>809</v>
      </c>
      <c r="B110" s="442" t="s">
        <v>810</v>
      </c>
      <c r="C110" s="405">
        <v>99</v>
      </c>
      <c r="D110" s="453"/>
      <c r="E110" s="454"/>
      <c r="F110" s="459"/>
      <c r="G110" s="454"/>
      <c r="H110" s="454"/>
      <c r="I110" s="381">
        <f t="shared" si="57"/>
        <v>0</v>
      </c>
      <c r="J110" s="975"/>
      <c r="K110" s="459"/>
      <c r="L110" s="454"/>
      <c r="M110" s="459"/>
      <c r="N110" s="462"/>
      <c r="O110" s="1522"/>
      <c r="P110" s="1523"/>
      <c r="Q110" s="375">
        <f t="shared" si="41"/>
        <v>0</v>
      </c>
      <c r="R110" s="390">
        <f t="shared" si="42"/>
        <v>0</v>
      </c>
      <c r="S110" s="454"/>
      <c r="T110" s="1058">
        <f t="shared" si="58"/>
        <v>0</v>
      </c>
      <c r="U110" s="983"/>
    </row>
    <row r="111" spans="1:21">
      <c r="A111" s="443">
        <v>8.4</v>
      </c>
      <c r="B111" s="444" t="s">
        <v>811</v>
      </c>
      <c r="C111" s="409">
        <v>100</v>
      </c>
      <c r="D111" s="417">
        <f t="shared" ref="D111:N111" si="59">+D112</f>
        <v>0</v>
      </c>
      <c r="E111" s="393">
        <f t="shared" si="59"/>
        <v>0</v>
      </c>
      <c r="F111" s="384">
        <f t="shared" si="59"/>
        <v>0</v>
      </c>
      <c r="G111" s="393">
        <f t="shared" si="59"/>
        <v>0</v>
      </c>
      <c r="H111" s="393">
        <f t="shared" si="59"/>
        <v>0</v>
      </c>
      <c r="I111" s="384">
        <f t="shared" si="59"/>
        <v>0</v>
      </c>
      <c r="J111" s="979">
        <f t="shared" si="59"/>
        <v>0</v>
      </c>
      <c r="K111" s="384">
        <f t="shared" si="59"/>
        <v>0</v>
      </c>
      <c r="L111" s="393">
        <f t="shared" si="59"/>
        <v>0</v>
      </c>
      <c r="M111" s="384">
        <f t="shared" si="59"/>
        <v>0</v>
      </c>
      <c r="N111" s="401">
        <f t="shared" si="59"/>
        <v>0</v>
      </c>
      <c r="O111" s="1522"/>
      <c r="P111" s="1523"/>
      <c r="Q111" s="378">
        <f t="shared" si="41"/>
        <v>0</v>
      </c>
      <c r="R111" s="393">
        <f t="shared" si="42"/>
        <v>0</v>
      </c>
      <c r="S111" s="393">
        <f>+S112</f>
        <v>0</v>
      </c>
      <c r="T111" s="993">
        <f t="shared" ref="T111" si="60">+T112</f>
        <v>0</v>
      </c>
      <c r="U111" s="982">
        <f>+U112</f>
        <v>0</v>
      </c>
    </row>
    <row r="112" spans="1:21" ht="39" thickBot="1">
      <c r="A112" s="449" t="s">
        <v>812</v>
      </c>
      <c r="B112" s="450" t="s">
        <v>813</v>
      </c>
      <c r="C112" s="412">
        <v>101</v>
      </c>
      <c r="D112" s="466"/>
      <c r="E112" s="465"/>
      <c r="F112" s="467"/>
      <c r="G112" s="465"/>
      <c r="H112" s="465"/>
      <c r="I112" s="381">
        <f>+F112*J112</f>
        <v>0</v>
      </c>
      <c r="J112" s="980"/>
      <c r="K112" s="467"/>
      <c r="L112" s="465"/>
      <c r="M112" s="467"/>
      <c r="N112" s="468"/>
      <c r="O112" s="1524"/>
      <c r="P112" s="1525"/>
      <c r="Q112" s="380">
        <f t="shared" si="41"/>
        <v>0</v>
      </c>
      <c r="R112" s="396">
        <f t="shared" si="42"/>
        <v>0</v>
      </c>
      <c r="S112" s="465"/>
      <c r="T112" s="1060">
        <f>+Q112*U112</f>
        <v>0</v>
      </c>
      <c r="U112" s="987"/>
    </row>
    <row r="114" spans="1:21" ht="15" customHeight="1">
      <c r="A114" s="1434" t="s">
        <v>647</v>
      </c>
      <c r="B114" s="1434"/>
      <c r="C114" s="1434"/>
      <c r="D114" s="1434"/>
      <c r="E114" s="1434"/>
      <c r="F114" s="1434"/>
      <c r="G114" s="1434"/>
      <c r="H114" s="1434"/>
      <c r="I114" s="1434"/>
      <c r="J114" s="1434"/>
      <c r="K114" s="1434"/>
      <c r="L114" s="1434"/>
      <c r="M114" s="1434"/>
      <c r="N114" s="1434"/>
      <c r="O114" s="1434"/>
      <c r="P114"/>
      <c r="Q114"/>
      <c r="R114"/>
      <c r="S114"/>
      <c r="T114"/>
      <c r="U114"/>
    </row>
    <row r="115" spans="1:21" ht="15" customHeight="1">
      <c r="A115" s="7" t="s">
        <v>814</v>
      </c>
      <c r="B115" s="7"/>
      <c r="C115" s="7"/>
      <c r="D115" s="7"/>
      <c r="E115" s="7"/>
      <c r="F115" s="7"/>
      <c r="G115" s="7"/>
      <c r="H115" s="7"/>
      <c r="I115" s="7"/>
      <c r="J115" s="7"/>
      <c r="K115" s="7"/>
      <c r="L115" s="7"/>
      <c r="M115" s="7"/>
      <c r="N115" s="7"/>
      <c r="O115" s="7"/>
      <c r="P115" s="7"/>
      <c r="Q115" s="7"/>
      <c r="R115" s="7"/>
      <c r="S115" s="7"/>
      <c r="T115" s="7"/>
      <c r="U115" s="7"/>
    </row>
    <row r="116" spans="1:21" ht="15" customHeight="1">
      <c r="A116" s="7" t="s">
        <v>815</v>
      </c>
      <c r="B116"/>
      <c r="D116"/>
      <c r="E116"/>
      <c r="F116"/>
      <c r="G116"/>
      <c r="H116"/>
      <c r="I116"/>
      <c r="J116"/>
      <c r="K116"/>
      <c r="L116"/>
      <c r="M116"/>
      <c r="N116"/>
      <c r="O116"/>
      <c r="P116"/>
      <c r="Q116"/>
      <c r="R116"/>
      <c r="S116"/>
      <c r="T116"/>
      <c r="U116"/>
    </row>
    <row r="117" spans="1:21" ht="12.75" customHeight="1">
      <c r="A117" s="7"/>
      <c r="B117" s="1038" t="s">
        <v>816</v>
      </c>
      <c r="D117"/>
      <c r="E117"/>
      <c r="F117"/>
      <c r="G117"/>
      <c r="H117"/>
      <c r="I117"/>
      <c r="J117"/>
      <c r="K117"/>
      <c r="L117"/>
      <c r="M117"/>
      <c r="N117"/>
      <c r="O117"/>
      <c r="P117"/>
      <c r="Q117"/>
      <c r="R117"/>
      <c r="S117"/>
      <c r="T117"/>
      <c r="U117"/>
    </row>
    <row r="118" spans="1:21">
      <c r="A118" s="7" t="s">
        <v>651</v>
      </c>
      <c r="B118"/>
      <c r="D118"/>
      <c r="E118"/>
      <c r="F118"/>
      <c r="G118"/>
      <c r="H118"/>
      <c r="I118"/>
      <c r="J118"/>
      <c r="K118"/>
      <c r="L118"/>
      <c r="M118"/>
      <c r="N118"/>
      <c r="O118"/>
      <c r="P118"/>
      <c r="Q118"/>
      <c r="R118"/>
      <c r="S118"/>
      <c r="T118"/>
      <c r="U118"/>
    </row>
    <row r="119" spans="1:21">
      <c r="A119" s="7" t="s">
        <v>652</v>
      </c>
      <c r="B119"/>
      <c r="D119"/>
      <c r="E119"/>
      <c r="F119"/>
      <c r="G119"/>
      <c r="H119"/>
      <c r="I119"/>
      <c r="J119"/>
      <c r="K119"/>
      <c r="L119"/>
      <c r="M119"/>
      <c r="N119"/>
      <c r="O119"/>
      <c r="P119"/>
      <c r="Q119"/>
      <c r="R119"/>
      <c r="S119"/>
      <c r="T119"/>
      <c r="U119"/>
    </row>
    <row r="120" spans="1:21">
      <c r="A120" s="1" t="s">
        <v>653</v>
      </c>
      <c r="B120" s="1"/>
      <c r="C120" s="1"/>
      <c r="D120" s="1"/>
      <c r="E120" s="1"/>
      <c r="F120" s="1"/>
      <c r="G120" s="1"/>
      <c r="H120" s="1"/>
      <c r="I120" s="1"/>
      <c r="J120" s="1"/>
      <c r="K120" s="1"/>
      <c r="L120" s="1"/>
      <c r="M120" s="1"/>
      <c r="N120" s="1"/>
      <c r="O120" s="1"/>
      <c r="P120"/>
      <c r="Q120"/>
      <c r="R120"/>
      <c r="S120"/>
      <c r="T120"/>
      <c r="U120"/>
    </row>
    <row r="121" spans="1:21">
      <c r="A121" s="966" t="s">
        <v>654</v>
      </c>
      <c r="B121" s="966"/>
      <c r="C121" s="966"/>
      <c r="D121" s="966"/>
      <c r="E121" s="966"/>
      <c r="F121" s="966"/>
      <c r="G121" s="966"/>
      <c r="H121" s="966"/>
      <c r="I121" s="966"/>
      <c r="J121" s="966"/>
      <c r="K121" s="966"/>
      <c r="L121" s="966"/>
      <c r="M121" s="966"/>
      <c r="N121" s="966"/>
      <c r="O121" s="966"/>
      <c r="P121"/>
      <c r="Q121"/>
      <c r="R121"/>
      <c r="S121"/>
      <c r="T121"/>
      <c r="U121"/>
    </row>
    <row r="122" spans="1:21">
      <c r="A122" s="966" t="s">
        <v>817</v>
      </c>
      <c r="B122"/>
      <c r="D122"/>
      <c r="E122"/>
      <c r="F122"/>
      <c r="G122"/>
      <c r="H122"/>
      <c r="I122"/>
      <c r="J122"/>
      <c r="K122"/>
      <c r="L122"/>
      <c r="M122"/>
      <c r="N122"/>
      <c r="O122"/>
      <c r="P122"/>
      <c r="Q122"/>
      <c r="R122"/>
      <c r="S122"/>
      <c r="T122"/>
      <c r="U122"/>
    </row>
    <row r="123" spans="1:21">
      <c r="A123" s="966"/>
      <c r="B123"/>
      <c r="D123"/>
      <c r="E123"/>
      <c r="F123"/>
      <c r="G123"/>
      <c r="H123"/>
      <c r="I123"/>
      <c r="J123"/>
      <c r="K123"/>
      <c r="L123"/>
      <c r="M123"/>
      <c r="N123"/>
      <c r="O123"/>
      <c r="P123"/>
      <c r="Q123"/>
      <c r="R123"/>
      <c r="S123"/>
      <c r="T123"/>
      <c r="U123"/>
    </row>
    <row r="124" spans="1:21">
      <c r="A124" s="1509" t="s">
        <v>111</v>
      </c>
      <c r="B124" s="1509"/>
      <c r="C124" s="1509"/>
      <c r="D124" s="1509"/>
      <c r="E124" s="1509"/>
      <c r="F124" s="1509"/>
      <c r="G124" s="1509"/>
      <c r="H124" s="1509"/>
      <c r="I124" s="1509"/>
      <c r="J124" s="1509"/>
      <c r="K124" s="1509"/>
      <c r="L124" s="1509"/>
      <c r="M124" s="1509"/>
      <c r="N124" s="1509"/>
      <c r="O124" s="1509"/>
      <c r="P124"/>
      <c r="Q124"/>
      <c r="R124"/>
      <c r="S124"/>
      <c r="T124"/>
      <c r="U124"/>
    </row>
    <row r="125" spans="1:21">
      <c r="A125" s="1510" t="s">
        <v>112</v>
      </c>
      <c r="B125" s="1510"/>
      <c r="C125" s="1510"/>
      <c r="D125" s="1510"/>
      <c r="E125" s="1510"/>
      <c r="F125" s="1510"/>
      <c r="G125" s="1510"/>
      <c r="H125" s="1510"/>
      <c r="I125" s="1510"/>
      <c r="J125" s="1510"/>
      <c r="K125" s="1510"/>
      <c r="L125" s="1510"/>
      <c r="M125" s="1510"/>
      <c r="N125" s="1510"/>
      <c r="O125" s="1510"/>
      <c r="P125"/>
      <c r="Q125"/>
      <c r="R125"/>
      <c r="S125"/>
      <c r="T125"/>
      <c r="U125"/>
    </row>
    <row r="126" spans="1:21">
      <c r="B126"/>
      <c r="D126"/>
      <c r="E126" s="41"/>
      <c r="F126"/>
      <c r="G126"/>
      <c r="H126" s="1"/>
      <c r="I126"/>
      <c r="J126"/>
      <c r="K126"/>
      <c r="L126"/>
      <c r="M126"/>
      <c r="N126"/>
      <c r="O126"/>
      <c r="P126"/>
      <c r="Q126"/>
      <c r="R126"/>
      <c r="S126"/>
      <c r="T126"/>
      <c r="U126"/>
    </row>
    <row r="127" spans="1:21">
      <c r="B127"/>
      <c r="D127"/>
      <c r="E127"/>
      <c r="F127" s="40" t="s">
        <v>392</v>
      </c>
      <c r="G127"/>
      <c r="H127" s="1" t="str">
        <f>+STATISTICS!C112</f>
        <v>/Нэр/</v>
      </c>
      <c r="I127"/>
      <c r="J127"/>
      <c r="K127"/>
      <c r="L127"/>
      <c r="M127"/>
      <c r="N127"/>
      <c r="O127"/>
      <c r="P127"/>
      <c r="Q127"/>
      <c r="R127"/>
      <c r="S127"/>
      <c r="T127"/>
      <c r="U127"/>
    </row>
    <row r="128" spans="1:21">
      <c r="B128"/>
      <c r="D128"/>
      <c r="E128"/>
      <c r="F128" s="42"/>
      <c r="G128"/>
      <c r="H128" s="1"/>
      <c r="I128"/>
      <c r="J128"/>
      <c r="K128"/>
      <c r="L128"/>
      <c r="M128"/>
      <c r="N128"/>
      <c r="O128"/>
      <c r="P128"/>
      <c r="Q128"/>
      <c r="R128"/>
      <c r="S128"/>
      <c r="T128"/>
      <c r="U128"/>
    </row>
    <row r="129" spans="6:8" customFormat="1">
      <c r="F129" s="40" t="s">
        <v>115</v>
      </c>
      <c r="H129" s="1" t="str">
        <f>+STATISTICS!C114</f>
        <v>/Нэр/</v>
      </c>
    </row>
    <row r="130" spans="6:8" customFormat="1"/>
  </sheetData>
  <sheetProtection algorithmName="SHA-512" hashValue="mjp05SKW2LP5iZuzuk1A4b2D13MdKvt6NYrmgtI0YNSaMw6pANNDZsUh4eSp+CmN6893Jl5qvjv8SCMswMDvTQ==" saltValue="ZJZekD0EoBbRuNIXAans3w==" spinCount="100000" sheet="1" objects="1" scenarios="1"/>
  <mergeCells count="22">
    <mergeCell ref="B1:D1"/>
    <mergeCell ref="B2:D2"/>
    <mergeCell ref="O19:P112"/>
    <mergeCell ref="M9:N9"/>
    <mergeCell ref="O9:P9"/>
    <mergeCell ref="O13:P13"/>
    <mergeCell ref="K9:L9"/>
    <mergeCell ref="B9:B10"/>
    <mergeCell ref="C9:C10"/>
    <mergeCell ref="D9:E9"/>
    <mergeCell ref="F9:J9"/>
    <mergeCell ref="H18:J18"/>
    <mergeCell ref="A124:O124"/>
    <mergeCell ref="A125:O125"/>
    <mergeCell ref="A114:O114"/>
    <mergeCell ref="A8:B8"/>
    <mergeCell ref="A4:U4"/>
    <mergeCell ref="A5:U5"/>
    <mergeCell ref="A6:U6"/>
    <mergeCell ref="Q9:U9"/>
    <mergeCell ref="S18:U18"/>
    <mergeCell ref="A9:A12"/>
  </mergeCells>
  <conditionalFormatting sqref="Q12:R112">
    <cfRule type="cellIs" dxfId="11" priority="1" operator="lessThan">
      <formula>0</formula>
    </cfRule>
  </conditionalFormatting>
  <dataValidations count="4">
    <dataValidation type="decimal" allowBlank="1" showInputMessage="1" showErrorMessage="1" sqref="D9:D113 D131:D1048576" xr:uid="{CB56F1F9-7EB0-41A1-B754-222DCB36433F}">
      <formula1>0</formula1>
      <formula2>100000000000000000000</formula2>
    </dataValidation>
    <dataValidation type="whole" allowBlank="1" showInputMessage="1" showErrorMessage="1" sqref="I99:I100 E131:E1048576 L131:L1048576 N131:N1048576 H9:I11 P131:P1048576 R131:T1048576 I108:I110 I106 I103:I104 I86 I93:I97 I89:I91 I74:I75 I81:I84 I78:I79 I66:I67 I70:I72 I58:I59 I64 I62 I45:I46 I54:I56 I49:I52 I33:I35 I43 I41 I38:I39 H13:H113 I31 I29 I27 I23:I25 I21 N9:N113 I112:I113 P13:P17 G131:I1048576 L9:L113 E9:E113 I13:I17 P19:P113 P9:P11 G9:G113 R9:T113" xr:uid="{1B39D27D-37D2-48D3-9BBA-35A34CD2D023}">
      <formula1>0</formula1>
      <formula2>1000000</formula2>
    </dataValidation>
    <dataValidation type="decimal" allowBlank="1" showInputMessage="1" showErrorMessage="1" sqref="M131:M1048576 Q131:Q1048576 F131:F1048576 O14:O18 I12 I111 I107 I105 I101:I102 I98 I92 I87:I88 I85 I80 I76:I77 I73 I68:I69 I65 I63 I60:I61 I57 I53 I47:I48 I44 I42 I40 I36:I37 I32 I30 I28 I26 I22 I19:I20 P18:Q18 M9:M113 K9:K113 K131:K1048576 F9:F113 Q9:Q17 Q19:Q113" xr:uid="{36648DA8-AA19-41B6-AC04-9CF4EBE02B7E}">
      <formula1>0</formula1>
      <formula2>10000000000000000000</formula2>
    </dataValidation>
    <dataValidation type="decimal" allowBlank="1" showInputMessage="1" showErrorMessage="1" sqref="J13:J17 J19:J113 J131:J1048576" xr:uid="{20286F9E-4177-4656-B360-E93E290B3624}">
      <formula1>0</formula1>
      <formula2>0.2</formula2>
    </dataValidation>
  </dataValidations>
  <hyperlinks>
    <hyperlink ref="B117" r:id="rId1" xr:uid="{4DDA6275-1AC8-47F1-AD24-E8759A0C5FEB}"/>
  </hyperlinks>
  <pageMargins left="0.7" right="0.7" top="0.75" bottom="0.75" header="0.3" footer="0.3"/>
  <pageSetup paperSize="9" scale="53"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A392-F14E-4514-A888-EC9898451192}">
  <dimension ref="A1:P87"/>
  <sheetViews>
    <sheetView zoomScale="85" zoomScaleNormal="85" workbookViewId="0">
      <pane xSplit="2" ySplit="9" topLeftCell="C62" activePane="bottomRight" state="frozen"/>
      <selection pane="topRight" activeCell="C1" sqref="C1"/>
      <selection pane="bottomLeft" activeCell="A8" sqref="A8"/>
      <selection pane="bottomRight" activeCell="J84" sqref="J84"/>
    </sheetView>
  </sheetViews>
  <sheetFormatPr defaultRowHeight="15"/>
  <cols>
    <col min="1" max="1" width="3.28515625" bestFit="1" customWidth="1"/>
    <col min="2" max="2" width="27.28515625" customWidth="1"/>
    <col min="3" max="3" width="23.42578125" customWidth="1"/>
    <col min="5" max="5" width="24.42578125" customWidth="1"/>
    <col min="7" max="7" width="14.140625" customWidth="1"/>
    <col min="8" max="8" width="24.85546875" customWidth="1"/>
    <col min="9" max="9" width="14.140625" customWidth="1"/>
    <col min="10" max="10" width="24.5703125" customWidth="1"/>
    <col min="11" max="11" width="13.42578125" customWidth="1"/>
    <col min="12" max="12" width="23.28515625" customWidth="1"/>
    <col min="13" max="13" width="11.85546875" customWidth="1"/>
    <col min="14" max="14" width="8.85546875" customWidth="1"/>
    <col min="15" max="15" width="9" customWidth="1"/>
  </cols>
  <sheetData>
    <row r="1" spans="1:15" ht="25.5" customHeight="1">
      <c r="A1" s="1008"/>
      <c r="B1" s="1009"/>
      <c r="C1" s="1008"/>
      <c r="D1" s="1016"/>
      <c r="E1" s="1016"/>
      <c r="F1" s="1016"/>
      <c r="G1" s="1016"/>
      <c r="H1" s="1016"/>
      <c r="I1" s="1017"/>
      <c r="J1" s="1561" t="s">
        <v>818</v>
      </c>
      <c r="K1" s="1562"/>
      <c r="L1" s="1562"/>
      <c r="M1" s="1562"/>
      <c r="N1" s="1562"/>
      <c r="O1" s="1563"/>
    </row>
    <row r="2" spans="1:15" ht="25.5" customHeight="1">
      <c r="B2" s="1007"/>
      <c r="C2" s="1015"/>
      <c r="I2" s="469"/>
      <c r="J2" s="1018"/>
      <c r="K2" s="58"/>
      <c r="L2" s="58"/>
      <c r="M2" s="58"/>
      <c r="N2" s="58"/>
      <c r="O2" s="58"/>
    </row>
    <row r="3" spans="1:15">
      <c r="A3" s="1564" t="s">
        <v>819</v>
      </c>
      <c r="B3" s="1564"/>
      <c r="C3" s="1564"/>
      <c r="D3" s="1564"/>
      <c r="E3" s="1564"/>
      <c r="F3" s="1564"/>
      <c r="G3" s="1564"/>
      <c r="H3" s="1564"/>
      <c r="I3" s="1564"/>
      <c r="J3" s="1564"/>
      <c r="K3" s="1564"/>
      <c r="L3" s="1564"/>
      <c r="M3" s="1564"/>
      <c r="N3" s="1564"/>
      <c r="O3" s="1565"/>
    </row>
    <row r="4" spans="1:15">
      <c r="A4" s="1566" t="str">
        <f>+STATISTICS!A5</f>
        <v>ХАДГАЛАМЖ, ЗЭЭЛИЙН ХОРШООНЫ НЭР</v>
      </c>
      <c r="B4" s="1566"/>
      <c r="C4" s="1566"/>
      <c r="D4" s="1566"/>
      <c r="E4" s="1566"/>
      <c r="F4" s="1566"/>
      <c r="G4" s="1566"/>
      <c r="H4" s="1566"/>
      <c r="I4" s="1566"/>
      <c r="J4" s="1566"/>
      <c r="K4" s="1566"/>
      <c r="L4" s="1566"/>
      <c r="M4" s="1566"/>
      <c r="N4" s="1566"/>
      <c r="O4" s="1567"/>
    </row>
    <row r="5" spans="1:15">
      <c r="A5" s="1564" t="s">
        <v>38</v>
      </c>
      <c r="B5" s="1564"/>
      <c r="C5" s="1564"/>
      <c r="D5" s="1564"/>
      <c r="E5" s="1564"/>
      <c r="F5" s="1564"/>
      <c r="G5" s="1564"/>
      <c r="H5" s="1564"/>
      <c r="I5" s="1564"/>
      <c r="J5" s="1564"/>
      <c r="K5" s="1564"/>
      <c r="L5" s="1564"/>
      <c r="M5" s="1564"/>
      <c r="N5" s="1564"/>
      <c r="O5" s="1565"/>
    </row>
    <row r="6" spans="1:15">
      <c r="A6" s="1010"/>
      <c r="B6" s="1011"/>
      <c r="C6" s="1010"/>
      <c r="D6" s="1012"/>
      <c r="E6" s="1012"/>
      <c r="F6" s="1012"/>
      <c r="G6" s="1012"/>
      <c r="H6" s="1012"/>
      <c r="I6" s="1012"/>
      <c r="J6" s="1012"/>
      <c r="K6" s="1012"/>
      <c r="L6" s="1012"/>
      <c r="M6" s="1012"/>
      <c r="N6" s="1012"/>
      <c r="O6" s="1012"/>
    </row>
    <row r="7" spans="1:15" ht="15.75" thickBot="1">
      <c r="A7" s="1568"/>
      <c r="B7" s="1568"/>
      <c r="C7" s="1013"/>
      <c r="D7" s="1014"/>
      <c r="E7" s="1014"/>
      <c r="F7" s="1"/>
      <c r="G7" s="1014"/>
      <c r="H7" s="1014"/>
      <c r="I7" s="1014"/>
      <c r="J7" s="1014"/>
      <c r="K7" s="1014"/>
      <c r="L7" s="1014"/>
      <c r="M7" s="1014"/>
      <c r="N7" s="1014"/>
      <c r="O7" s="1019" t="s">
        <v>117</v>
      </c>
    </row>
    <row r="8" spans="1:15" ht="38.25">
      <c r="A8" s="884" t="s">
        <v>39</v>
      </c>
      <c r="B8" s="885" t="s">
        <v>820</v>
      </c>
      <c r="C8" s="886" t="s">
        <v>821</v>
      </c>
      <c r="D8" s="887" t="s">
        <v>570</v>
      </c>
      <c r="E8" s="888" t="s">
        <v>822</v>
      </c>
      <c r="F8" s="887" t="s">
        <v>570</v>
      </c>
      <c r="G8" s="885" t="s">
        <v>823</v>
      </c>
      <c r="H8" s="885" t="s">
        <v>824</v>
      </c>
      <c r="I8" s="885" t="s">
        <v>825</v>
      </c>
      <c r="J8" s="886" t="s">
        <v>826</v>
      </c>
      <c r="K8" s="887" t="s">
        <v>570</v>
      </c>
      <c r="L8" s="889" t="s">
        <v>827</v>
      </c>
      <c r="M8" s="1006" t="s">
        <v>570</v>
      </c>
      <c r="N8" s="885" t="s">
        <v>828</v>
      </c>
      <c r="O8" s="890" t="s">
        <v>829</v>
      </c>
    </row>
    <row r="9" spans="1:15">
      <c r="A9" s="1545" t="s">
        <v>830</v>
      </c>
      <c r="B9" s="1546"/>
      <c r="C9" s="1546"/>
      <c r="D9" s="1546"/>
      <c r="E9" s="1546"/>
      <c r="F9" s="1546"/>
      <c r="G9" s="1546"/>
      <c r="H9" s="1546"/>
      <c r="I9" s="1546"/>
      <c r="J9" s="1546"/>
      <c r="K9" s="1546"/>
      <c r="L9" s="1546"/>
      <c r="M9" s="1546"/>
      <c r="N9" s="1546"/>
      <c r="O9" s="1547"/>
    </row>
    <row r="10" spans="1:15">
      <c r="A10" s="822">
        <v>1</v>
      </c>
      <c r="B10" s="1085"/>
      <c r="C10" s="799"/>
      <c r="D10" s="801"/>
      <c r="E10" s="799"/>
      <c r="F10" s="801"/>
      <c r="G10" s="809"/>
      <c r="H10" s="812">
        <f>+E10*G10</f>
        <v>0</v>
      </c>
      <c r="I10" s="1569" t="e">
        <f>H20/E20</f>
        <v>#DIV/0!</v>
      </c>
      <c r="J10" s="799"/>
      <c r="K10" s="801"/>
      <c r="L10" s="806">
        <f>+C10+E10-J10</f>
        <v>0</v>
      </c>
      <c r="M10" s="819">
        <f>+D10+F10-K10</f>
        <v>0</v>
      </c>
      <c r="N10" s="816"/>
      <c r="O10" s="794"/>
    </row>
    <row r="11" spans="1:15">
      <c r="A11" s="823">
        <v>2</v>
      </c>
      <c r="B11" s="1086"/>
      <c r="C11" s="800"/>
      <c r="D11" s="802"/>
      <c r="E11" s="800"/>
      <c r="F11" s="804"/>
      <c r="G11" s="810"/>
      <c r="H11" s="813">
        <f t="shared" ref="H11:H19" si="0">+E11*G11</f>
        <v>0</v>
      </c>
      <c r="I11" s="1570"/>
      <c r="J11" s="800"/>
      <c r="K11" s="802"/>
      <c r="L11" s="807">
        <f t="shared" ref="L11:M19" si="1">+C11+E11-J11</f>
        <v>0</v>
      </c>
      <c r="M11" s="820">
        <f t="shared" si="1"/>
        <v>0</v>
      </c>
      <c r="N11" s="817"/>
      <c r="O11" s="792"/>
    </row>
    <row r="12" spans="1:15">
      <c r="A12" s="823">
        <v>3</v>
      </c>
      <c r="B12" s="1086"/>
      <c r="C12" s="800"/>
      <c r="D12" s="802"/>
      <c r="E12" s="800"/>
      <c r="F12" s="804"/>
      <c r="G12" s="810"/>
      <c r="H12" s="813">
        <f t="shared" si="0"/>
        <v>0</v>
      </c>
      <c r="I12" s="1570"/>
      <c r="J12" s="800"/>
      <c r="K12" s="802"/>
      <c r="L12" s="807">
        <f t="shared" si="1"/>
        <v>0</v>
      </c>
      <c r="M12" s="820">
        <f t="shared" si="1"/>
        <v>0</v>
      </c>
      <c r="N12" s="817"/>
      <c r="O12" s="792"/>
    </row>
    <row r="13" spans="1:15">
      <c r="A13" s="823">
        <v>4</v>
      </c>
      <c r="B13" s="1086"/>
      <c r="C13" s="800"/>
      <c r="D13" s="802"/>
      <c r="E13" s="800"/>
      <c r="F13" s="804"/>
      <c r="G13" s="810"/>
      <c r="H13" s="813">
        <f t="shared" si="0"/>
        <v>0</v>
      </c>
      <c r="I13" s="1570"/>
      <c r="J13" s="800"/>
      <c r="K13" s="802"/>
      <c r="L13" s="807">
        <f t="shared" si="1"/>
        <v>0</v>
      </c>
      <c r="M13" s="820">
        <f t="shared" si="1"/>
        <v>0</v>
      </c>
      <c r="N13" s="817"/>
      <c r="O13" s="792"/>
    </row>
    <row r="14" spans="1:15">
      <c r="A14" s="823">
        <v>5</v>
      </c>
      <c r="B14" s="1086"/>
      <c r="C14" s="800"/>
      <c r="D14" s="802"/>
      <c r="E14" s="800"/>
      <c r="F14" s="804"/>
      <c r="G14" s="810"/>
      <c r="H14" s="813">
        <f t="shared" si="0"/>
        <v>0</v>
      </c>
      <c r="I14" s="1570"/>
      <c r="J14" s="800"/>
      <c r="K14" s="802"/>
      <c r="L14" s="807">
        <f t="shared" si="1"/>
        <v>0</v>
      </c>
      <c r="M14" s="820">
        <f t="shared" si="1"/>
        <v>0</v>
      </c>
      <c r="N14" s="817"/>
      <c r="O14" s="792"/>
    </row>
    <row r="15" spans="1:15">
      <c r="A15" s="823">
        <v>6</v>
      </c>
      <c r="B15" s="1086"/>
      <c r="C15" s="800"/>
      <c r="D15" s="802"/>
      <c r="E15" s="800"/>
      <c r="F15" s="804"/>
      <c r="G15" s="810"/>
      <c r="H15" s="813">
        <f t="shared" si="0"/>
        <v>0</v>
      </c>
      <c r="I15" s="1570"/>
      <c r="J15" s="800"/>
      <c r="K15" s="802"/>
      <c r="L15" s="807">
        <f t="shared" si="1"/>
        <v>0</v>
      </c>
      <c r="M15" s="820">
        <f t="shared" si="1"/>
        <v>0</v>
      </c>
      <c r="N15" s="817"/>
      <c r="O15" s="792"/>
    </row>
    <row r="16" spans="1:15">
      <c r="A16" s="823">
        <v>7</v>
      </c>
      <c r="B16" s="1086"/>
      <c r="C16" s="800"/>
      <c r="D16" s="802"/>
      <c r="E16" s="800"/>
      <c r="F16" s="804"/>
      <c r="G16" s="810"/>
      <c r="H16" s="813">
        <f t="shared" si="0"/>
        <v>0</v>
      </c>
      <c r="I16" s="1570"/>
      <c r="J16" s="800"/>
      <c r="K16" s="802"/>
      <c r="L16" s="807">
        <f t="shared" si="1"/>
        <v>0</v>
      </c>
      <c r="M16" s="820">
        <f t="shared" si="1"/>
        <v>0</v>
      </c>
      <c r="N16" s="817"/>
      <c r="O16" s="792"/>
    </row>
    <row r="17" spans="1:15">
      <c r="A17" s="823">
        <v>8</v>
      </c>
      <c r="B17" s="1086"/>
      <c r="C17" s="800"/>
      <c r="D17" s="802"/>
      <c r="E17" s="800"/>
      <c r="F17" s="804"/>
      <c r="G17" s="810"/>
      <c r="H17" s="813">
        <f t="shared" si="0"/>
        <v>0</v>
      </c>
      <c r="I17" s="1570"/>
      <c r="J17" s="800"/>
      <c r="K17" s="802"/>
      <c r="L17" s="807">
        <f t="shared" si="1"/>
        <v>0</v>
      </c>
      <c r="M17" s="820">
        <f t="shared" si="1"/>
        <v>0</v>
      </c>
      <c r="N17" s="817"/>
      <c r="O17" s="792"/>
    </row>
    <row r="18" spans="1:15">
      <c r="A18" s="823">
        <v>9</v>
      </c>
      <c r="B18" s="1086"/>
      <c r="C18" s="800"/>
      <c r="D18" s="802"/>
      <c r="E18" s="800"/>
      <c r="F18" s="804"/>
      <c r="G18" s="810"/>
      <c r="H18" s="813">
        <f t="shared" si="0"/>
        <v>0</v>
      </c>
      <c r="I18" s="1570"/>
      <c r="J18" s="800"/>
      <c r="K18" s="802"/>
      <c r="L18" s="807">
        <f t="shared" si="1"/>
        <v>0</v>
      </c>
      <c r="M18" s="820">
        <f t="shared" si="1"/>
        <v>0</v>
      </c>
      <c r="N18" s="817"/>
      <c r="O18" s="792"/>
    </row>
    <row r="19" spans="1:15">
      <c r="A19" s="824">
        <v>10</v>
      </c>
      <c r="B19" s="1087"/>
      <c r="C19" s="798"/>
      <c r="D19" s="803"/>
      <c r="E19" s="798"/>
      <c r="F19" s="805"/>
      <c r="G19" s="811"/>
      <c r="H19" s="814">
        <f t="shared" si="0"/>
        <v>0</v>
      </c>
      <c r="I19" s="1571"/>
      <c r="J19" s="798"/>
      <c r="K19" s="815"/>
      <c r="L19" s="808">
        <f t="shared" si="1"/>
        <v>0</v>
      </c>
      <c r="M19" s="821">
        <f t="shared" si="1"/>
        <v>0</v>
      </c>
      <c r="N19" s="818"/>
      <c r="O19" s="795"/>
    </row>
    <row r="20" spans="1:15">
      <c r="A20" s="1543" t="s">
        <v>831</v>
      </c>
      <c r="B20" s="1544"/>
      <c r="C20" s="849">
        <f>+SUM(C10:C19)</f>
        <v>0</v>
      </c>
      <c r="D20" s="850">
        <f>+SUM(D10:D19)</f>
        <v>0</v>
      </c>
      <c r="E20" s="851">
        <f>+SUM(E10:E19)</f>
        <v>0</v>
      </c>
      <c r="F20" s="852">
        <f>+SUM(F10:F19)</f>
        <v>0</v>
      </c>
      <c r="G20" s="853"/>
      <c r="H20" s="854">
        <f>SUM(H10:H19)</f>
        <v>0</v>
      </c>
      <c r="I20" s="997" t="e">
        <f>+(E10*G10+E11*G11+E12*G12+E13*G13+E14*G14+E15*G15+E16*G16+E17*G17+E18*G18+E19*G19)/E20</f>
        <v>#DIV/0!</v>
      </c>
      <c r="J20" s="851">
        <f>+SUM(J10:J19)</f>
        <v>0</v>
      </c>
      <c r="K20" s="852">
        <f>+SUM(K10:K19)</f>
        <v>0</v>
      </c>
      <c r="L20" s="849">
        <f>+SUM(L10:L19)</f>
        <v>0</v>
      </c>
      <c r="M20" s="850">
        <f>+SUM(M10:M19)</f>
        <v>0</v>
      </c>
      <c r="N20" s="855">
        <f>+MAX(N10:N19)</f>
        <v>0</v>
      </c>
      <c r="O20" s="891">
        <f t="array" ref="O20">+MIN(IF(O10:O19&gt;0,O10:O19))</f>
        <v>0</v>
      </c>
    </row>
    <row r="21" spans="1:15">
      <c r="A21" s="1545" t="s">
        <v>832</v>
      </c>
      <c r="B21" s="1546"/>
      <c r="C21" s="1546"/>
      <c r="D21" s="1546"/>
      <c r="E21" s="1546"/>
      <c r="F21" s="1546"/>
      <c r="G21" s="1546"/>
      <c r="H21" s="1546"/>
      <c r="I21" s="1546"/>
      <c r="J21" s="1546"/>
      <c r="K21" s="1546"/>
      <c r="L21" s="1546"/>
      <c r="M21" s="1546"/>
      <c r="N21" s="1546"/>
      <c r="O21" s="1547"/>
    </row>
    <row r="22" spans="1:15">
      <c r="A22" s="822">
        <v>1</v>
      </c>
      <c r="B22" s="1088"/>
      <c r="C22" s="799"/>
      <c r="D22" s="801"/>
      <c r="E22" s="799"/>
      <c r="F22" s="801"/>
      <c r="G22" s="828"/>
      <c r="H22" s="825">
        <f>+E22*G22</f>
        <v>0</v>
      </c>
      <c r="I22" s="1540" t="e">
        <f>H32/E32</f>
        <v>#DIV/0!</v>
      </c>
      <c r="J22" s="799"/>
      <c r="K22" s="801"/>
      <c r="L22" s="806">
        <f t="shared" ref="L22:M31" si="2">+C22+E22-J22</f>
        <v>0</v>
      </c>
      <c r="M22" s="819">
        <f t="shared" si="2"/>
        <v>0</v>
      </c>
      <c r="N22" s="816"/>
      <c r="O22" s="794"/>
    </row>
    <row r="23" spans="1:15">
      <c r="A23" s="823">
        <v>2</v>
      </c>
      <c r="B23" s="1089"/>
      <c r="C23" s="800"/>
      <c r="D23" s="802"/>
      <c r="E23" s="800"/>
      <c r="F23" s="804"/>
      <c r="G23" s="829"/>
      <c r="H23" s="826">
        <f t="shared" ref="H23:H31" si="3">+E23*G23</f>
        <v>0</v>
      </c>
      <c r="I23" s="1541"/>
      <c r="J23" s="800"/>
      <c r="K23" s="802"/>
      <c r="L23" s="807">
        <f t="shared" si="2"/>
        <v>0</v>
      </c>
      <c r="M23" s="820">
        <f t="shared" si="2"/>
        <v>0</v>
      </c>
      <c r="N23" s="817"/>
      <c r="O23" s="792"/>
    </row>
    <row r="24" spans="1:15">
      <c r="A24" s="823">
        <v>3</v>
      </c>
      <c r="B24" s="1089"/>
      <c r="C24" s="800"/>
      <c r="D24" s="802"/>
      <c r="E24" s="800"/>
      <c r="F24" s="804"/>
      <c r="G24" s="829"/>
      <c r="H24" s="826">
        <f t="shared" si="3"/>
        <v>0</v>
      </c>
      <c r="I24" s="1541"/>
      <c r="J24" s="800"/>
      <c r="K24" s="802"/>
      <c r="L24" s="807">
        <f t="shared" si="2"/>
        <v>0</v>
      </c>
      <c r="M24" s="820">
        <f t="shared" si="2"/>
        <v>0</v>
      </c>
      <c r="N24" s="817"/>
      <c r="O24" s="792"/>
    </row>
    <row r="25" spans="1:15">
      <c r="A25" s="823">
        <v>4</v>
      </c>
      <c r="B25" s="1089"/>
      <c r="C25" s="800"/>
      <c r="D25" s="802"/>
      <c r="E25" s="800"/>
      <c r="F25" s="804"/>
      <c r="G25" s="829"/>
      <c r="H25" s="826">
        <f t="shared" si="3"/>
        <v>0</v>
      </c>
      <c r="I25" s="1541"/>
      <c r="J25" s="800"/>
      <c r="K25" s="802"/>
      <c r="L25" s="807">
        <f t="shared" si="2"/>
        <v>0</v>
      </c>
      <c r="M25" s="820">
        <f t="shared" si="2"/>
        <v>0</v>
      </c>
      <c r="N25" s="817"/>
      <c r="O25" s="792"/>
    </row>
    <row r="26" spans="1:15">
      <c r="A26" s="823">
        <v>5</v>
      </c>
      <c r="B26" s="1089"/>
      <c r="C26" s="800"/>
      <c r="D26" s="802"/>
      <c r="E26" s="800"/>
      <c r="F26" s="804"/>
      <c r="G26" s="829"/>
      <c r="H26" s="826">
        <f t="shared" si="3"/>
        <v>0</v>
      </c>
      <c r="I26" s="1541"/>
      <c r="J26" s="800"/>
      <c r="K26" s="802"/>
      <c r="L26" s="807">
        <f t="shared" si="2"/>
        <v>0</v>
      </c>
      <c r="M26" s="820">
        <f t="shared" si="2"/>
        <v>0</v>
      </c>
      <c r="N26" s="817"/>
      <c r="O26" s="792"/>
    </row>
    <row r="27" spans="1:15">
      <c r="A27" s="823">
        <v>6</v>
      </c>
      <c r="B27" s="1089"/>
      <c r="C27" s="800"/>
      <c r="D27" s="802"/>
      <c r="E27" s="800"/>
      <c r="F27" s="804"/>
      <c r="G27" s="829"/>
      <c r="H27" s="826">
        <f t="shared" si="3"/>
        <v>0</v>
      </c>
      <c r="I27" s="1541"/>
      <c r="J27" s="800"/>
      <c r="K27" s="802"/>
      <c r="L27" s="807">
        <f t="shared" si="2"/>
        <v>0</v>
      </c>
      <c r="M27" s="820">
        <f t="shared" si="2"/>
        <v>0</v>
      </c>
      <c r="N27" s="817"/>
      <c r="O27" s="792"/>
    </row>
    <row r="28" spans="1:15">
      <c r="A28" s="823">
        <v>7</v>
      </c>
      <c r="B28" s="1089"/>
      <c r="C28" s="800"/>
      <c r="D28" s="802"/>
      <c r="E28" s="800"/>
      <c r="F28" s="804"/>
      <c r="G28" s="829"/>
      <c r="H28" s="826">
        <f t="shared" si="3"/>
        <v>0</v>
      </c>
      <c r="I28" s="1541"/>
      <c r="J28" s="800"/>
      <c r="K28" s="802"/>
      <c r="L28" s="807">
        <f t="shared" si="2"/>
        <v>0</v>
      </c>
      <c r="M28" s="820">
        <f t="shared" si="2"/>
        <v>0</v>
      </c>
      <c r="N28" s="817"/>
      <c r="O28" s="792"/>
    </row>
    <row r="29" spans="1:15">
      <c r="A29" s="823">
        <v>8</v>
      </c>
      <c r="B29" s="1089"/>
      <c r="C29" s="800"/>
      <c r="D29" s="802"/>
      <c r="E29" s="800"/>
      <c r="F29" s="804"/>
      <c r="G29" s="829"/>
      <c r="H29" s="826">
        <f t="shared" si="3"/>
        <v>0</v>
      </c>
      <c r="I29" s="1541"/>
      <c r="J29" s="800"/>
      <c r="K29" s="802"/>
      <c r="L29" s="807">
        <f t="shared" si="2"/>
        <v>0</v>
      </c>
      <c r="M29" s="820">
        <f t="shared" si="2"/>
        <v>0</v>
      </c>
      <c r="N29" s="817"/>
      <c r="O29" s="792"/>
    </row>
    <row r="30" spans="1:15">
      <c r="A30" s="823">
        <v>9</v>
      </c>
      <c r="B30" s="1089"/>
      <c r="C30" s="800"/>
      <c r="D30" s="802"/>
      <c r="E30" s="800"/>
      <c r="F30" s="804"/>
      <c r="G30" s="829"/>
      <c r="H30" s="826">
        <f t="shared" si="3"/>
        <v>0</v>
      </c>
      <c r="I30" s="1541"/>
      <c r="J30" s="800"/>
      <c r="K30" s="802"/>
      <c r="L30" s="807">
        <f t="shared" si="2"/>
        <v>0</v>
      </c>
      <c r="M30" s="820">
        <f t="shared" si="2"/>
        <v>0</v>
      </c>
      <c r="N30" s="817"/>
      <c r="O30" s="792"/>
    </row>
    <row r="31" spans="1:15">
      <c r="A31" s="824">
        <v>10</v>
      </c>
      <c r="B31" s="1090"/>
      <c r="C31" s="798"/>
      <c r="D31" s="803"/>
      <c r="E31" s="798"/>
      <c r="F31" s="805"/>
      <c r="G31" s="830"/>
      <c r="H31" s="827">
        <f t="shared" si="3"/>
        <v>0</v>
      </c>
      <c r="I31" s="1542"/>
      <c r="J31" s="798"/>
      <c r="K31" s="803"/>
      <c r="L31" s="808">
        <f t="shared" si="2"/>
        <v>0</v>
      </c>
      <c r="M31" s="821">
        <f t="shared" si="2"/>
        <v>0</v>
      </c>
      <c r="N31" s="818"/>
      <c r="O31" s="795"/>
    </row>
    <row r="32" spans="1:15">
      <c r="A32" s="1543" t="s">
        <v>831</v>
      </c>
      <c r="B32" s="1544"/>
      <c r="C32" s="849">
        <f>+SUM(C22:C31)</f>
        <v>0</v>
      </c>
      <c r="D32" s="850">
        <f>+SUM(D22:D31)</f>
        <v>0</v>
      </c>
      <c r="E32" s="851">
        <f>+SUM(E22:E31)</f>
        <v>0</v>
      </c>
      <c r="F32" s="852">
        <f>+SUM(F22:F31)</f>
        <v>0</v>
      </c>
      <c r="G32" s="856"/>
      <c r="H32" s="854">
        <f>SUM(H22:H31)</f>
        <v>0</v>
      </c>
      <c r="I32" s="858" t="e">
        <f>+(E22*G22+E23*G23+E24*G24+E25*G25+E26*G26+E27*G27+E28*G28+E29*G29+E30*G30+E31*G31)/E32</f>
        <v>#DIV/0!</v>
      </c>
      <c r="J32" s="851">
        <f>+SUM(J22:J31)</f>
        <v>0</v>
      </c>
      <c r="K32" s="852">
        <f>+SUM(K22:K31)</f>
        <v>0</v>
      </c>
      <c r="L32" s="857">
        <f>+SUM(L22:L31)</f>
        <v>0</v>
      </c>
      <c r="M32" s="850">
        <f>+SUM(M22:M31)</f>
        <v>0</v>
      </c>
      <c r="N32" s="858">
        <f>+MAX(N22:N31)</f>
        <v>0</v>
      </c>
      <c r="O32" s="891">
        <f t="array" ref="O32">+MIN(IF(O22:O31&gt;0,O22:O31))</f>
        <v>0</v>
      </c>
    </row>
    <row r="33" spans="1:16">
      <c r="A33" s="1548" t="s">
        <v>670</v>
      </c>
      <c r="B33" s="1549"/>
      <c r="C33" s="842">
        <f>+C20+C32</f>
        <v>0</v>
      </c>
      <c r="D33" s="839">
        <f>+D20+D32</f>
        <v>0</v>
      </c>
      <c r="E33" s="843">
        <f>+E20+E32</f>
        <v>0</v>
      </c>
      <c r="F33" s="840">
        <f>+F20+F32</f>
        <v>0</v>
      </c>
      <c r="G33" s="789"/>
      <c r="H33" s="788">
        <f>+H20+H32</f>
        <v>0</v>
      </c>
      <c r="I33" s="790" t="e">
        <f>+(E10*G10+E11*G11+E12*G12+E13*G13+E14*G14+E15*G15+E16*G16+E17*G17+E18*G18+E19*G19+E22*G22+E23*G23+E24*G24+E25*G25+E26*G26+E27*G27+E28*G28+E29*G29+E30*G30+E31*G31)/E33</f>
        <v>#DIV/0!</v>
      </c>
      <c r="J33" s="842">
        <f>+J20+J32</f>
        <v>0</v>
      </c>
      <c r="K33" s="839">
        <f>+K20+K32</f>
        <v>0</v>
      </c>
      <c r="L33" s="842">
        <f>+L20+L32</f>
        <v>0</v>
      </c>
      <c r="M33" s="839">
        <f>+M20+M32</f>
        <v>0</v>
      </c>
      <c r="N33" s="790">
        <f>+MAX(N10:N19,N22:N31)</f>
        <v>0</v>
      </c>
      <c r="O33" s="791">
        <f>IF(O32=0,O20,MIN(O20,O32))</f>
        <v>0</v>
      </c>
      <c r="P33" s="970" t="str">
        <f>IF(L33=Balancesheet!G13,"","Балансын дүнтэй зөрүүтэй байна.")</f>
        <v/>
      </c>
    </row>
    <row r="34" spans="1:16" ht="38.25">
      <c r="A34" s="892" t="s">
        <v>39</v>
      </c>
      <c r="B34" s="844" t="s">
        <v>833</v>
      </c>
      <c r="C34" s="847" t="s">
        <v>834</v>
      </c>
      <c r="D34" s="848" t="s">
        <v>835</v>
      </c>
      <c r="E34" s="846" t="s">
        <v>836</v>
      </c>
      <c r="F34" s="845" t="s">
        <v>835</v>
      </c>
      <c r="G34" s="844" t="s">
        <v>823</v>
      </c>
      <c r="H34" s="844" t="s">
        <v>824</v>
      </c>
      <c r="I34" s="844" t="s">
        <v>825</v>
      </c>
      <c r="J34" s="847" t="s">
        <v>826</v>
      </c>
      <c r="K34" s="848" t="s">
        <v>835</v>
      </c>
      <c r="L34" s="847" t="s">
        <v>837</v>
      </c>
      <c r="M34" s="848" t="s">
        <v>835</v>
      </c>
      <c r="N34" s="844" t="s">
        <v>828</v>
      </c>
      <c r="O34" s="893" t="s">
        <v>829</v>
      </c>
    </row>
    <row r="35" spans="1:16">
      <c r="A35" s="1545" t="s">
        <v>838</v>
      </c>
      <c r="B35" s="1546"/>
      <c r="C35" s="1546"/>
      <c r="D35" s="1546"/>
      <c r="E35" s="1546"/>
      <c r="F35" s="1546"/>
      <c r="G35" s="1546"/>
      <c r="H35" s="1546"/>
      <c r="I35" s="1546"/>
      <c r="J35" s="1546"/>
      <c r="K35" s="1546"/>
      <c r="L35" s="1546"/>
      <c r="M35" s="1546"/>
      <c r="N35" s="1546"/>
      <c r="O35" s="1547"/>
    </row>
    <row r="36" spans="1:16">
      <c r="A36" s="796">
        <v>1</v>
      </c>
      <c r="B36" s="1091"/>
      <c r="C36" s="799"/>
      <c r="D36" s="801"/>
      <c r="E36" s="799"/>
      <c r="F36" s="801"/>
      <c r="G36" s="809"/>
      <c r="H36" s="812">
        <f>+E36*G36</f>
        <v>0</v>
      </c>
      <c r="I36" s="1540" t="e">
        <f>H46/E46</f>
        <v>#DIV/0!</v>
      </c>
      <c r="J36" s="799"/>
      <c r="K36" s="801"/>
      <c r="L36" s="806">
        <f t="shared" ref="L36:M45" si="4">+C36+E36-J36</f>
        <v>0</v>
      </c>
      <c r="M36" s="819">
        <f t="shared" si="4"/>
        <v>0</v>
      </c>
      <c r="N36" s="816"/>
      <c r="O36" s="794"/>
      <c r="P36" s="1005" t="str">
        <f t="shared" ref="P36:P45" si="5">+IF(E36&gt;0,IF(AND(G36&gt;0,G36&lt;0.15,N36&gt;0,N36&lt;0.15,O36&gt;=0,O36&lt;0.15),"","ХЖДХ болон дээд, доод хүүг сараар шивнэ үү."),"")</f>
        <v/>
      </c>
    </row>
    <row r="37" spans="1:16">
      <c r="A37" s="793">
        <v>2</v>
      </c>
      <c r="B37" s="1092"/>
      <c r="C37" s="800"/>
      <c r="D37" s="804"/>
      <c r="E37" s="800"/>
      <c r="F37" s="804"/>
      <c r="G37" s="810"/>
      <c r="H37" s="813">
        <f t="shared" ref="H37:H45" si="6">+E37*G37</f>
        <v>0</v>
      </c>
      <c r="I37" s="1541"/>
      <c r="J37" s="800"/>
      <c r="K37" s="802"/>
      <c r="L37" s="807">
        <f t="shared" si="4"/>
        <v>0</v>
      </c>
      <c r="M37" s="820">
        <f t="shared" si="4"/>
        <v>0</v>
      </c>
      <c r="N37" s="817"/>
      <c r="O37" s="792"/>
      <c r="P37" s="1005" t="str">
        <f t="shared" si="5"/>
        <v/>
      </c>
    </row>
    <row r="38" spans="1:16">
      <c r="A38" s="793">
        <v>3</v>
      </c>
      <c r="B38" s="1092"/>
      <c r="C38" s="800"/>
      <c r="D38" s="804"/>
      <c r="E38" s="800"/>
      <c r="F38" s="804"/>
      <c r="G38" s="810"/>
      <c r="H38" s="813">
        <f t="shared" si="6"/>
        <v>0</v>
      </c>
      <c r="I38" s="1541"/>
      <c r="J38" s="800"/>
      <c r="K38" s="802"/>
      <c r="L38" s="807">
        <f t="shared" si="4"/>
        <v>0</v>
      </c>
      <c r="M38" s="820">
        <f t="shared" si="4"/>
        <v>0</v>
      </c>
      <c r="N38" s="817"/>
      <c r="O38" s="792"/>
      <c r="P38" s="1005" t="str">
        <f t="shared" si="5"/>
        <v/>
      </c>
    </row>
    <row r="39" spans="1:16">
      <c r="A39" s="793">
        <v>4</v>
      </c>
      <c r="B39" s="1092"/>
      <c r="C39" s="800"/>
      <c r="D39" s="804"/>
      <c r="E39" s="800"/>
      <c r="F39" s="804"/>
      <c r="G39" s="810"/>
      <c r="H39" s="813">
        <f t="shared" si="6"/>
        <v>0</v>
      </c>
      <c r="I39" s="1541"/>
      <c r="J39" s="800"/>
      <c r="K39" s="802"/>
      <c r="L39" s="807">
        <f t="shared" si="4"/>
        <v>0</v>
      </c>
      <c r="M39" s="820">
        <f t="shared" si="4"/>
        <v>0</v>
      </c>
      <c r="N39" s="817"/>
      <c r="O39" s="792"/>
      <c r="P39" s="1005" t="str">
        <f t="shared" si="5"/>
        <v/>
      </c>
    </row>
    <row r="40" spans="1:16">
      <c r="A40" s="793">
        <v>5</v>
      </c>
      <c r="B40" s="1092"/>
      <c r="C40" s="800"/>
      <c r="D40" s="804"/>
      <c r="E40" s="800"/>
      <c r="F40" s="804"/>
      <c r="G40" s="810"/>
      <c r="H40" s="813">
        <f t="shared" si="6"/>
        <v>0</v>
      </c>
      <c r="I40" s="1541"/>
      <c r="J40" s="800"/>
      <c r="K40" s="802"/>
      <c r="L40" s="807">
        <f t="shared" si="4"/>
        <v>0</v>
      </c>
      <c r="M40" s="820">
        <f t="shared" si="4"/>
        <v>0</v>
      </c>
      <c r="N40" s="817"/>
      <c r="O40" s="792"/>
      <c r="P40" s="1005" t="str">
        <f t="shared" si="5"/>
        <v/>
      </c>
    </row>
    <row r="41" spans="1:16">
      <c r="A41" s="793">
        <v>6</v>
      </c>
      <c r="B41" s="1092"/>
      <c r="C41" s="800"/>
      <c r="D41" s="804"/>
      <c r="E41" s="800"/>
      <c r="F41" s="804"/>
      <c r="G41" s="810"/>
      <c r="H41" s="813">
        <f t="shared" si="6"/>
        <v>0</v>
      </c>
      <c r="I41" s="1541"/>
      <c r="J41" s="800"/>
      <c r="K41" s="802"/>
      <c r="L41" s="807">
        <f t="shared" si="4"/>
        <v>0</v>
      </c>
      <c r="M41" s="820">
        <f t="shared" si="4"/>
        <v>0</v>
      </c>
      <c r="N41" s="817"/>
      <c r="O41" s="792"/>
      <c r="P41" s="1005" t="str">
        <f t="shared" si="5"/>
        <v/>
      </c>
    </row>
    <row r="42" spans="1:16">
      <c r="A42" s="793">
        <v>7</v>
      </c>
      <c r="B42" s="1092"/>
      <c r="C42" s="800"/>
      <c r="D42" s="804"/>
      <c r="E42" s="800"/>
      <c r="F42" s="804"/>
      <c r="G42" s="810"/>
      <c r="H42" s="813">
        <f>+E42*G42</f>
        <v>0</v>
      </c>
      <c r="I42" s="1541"/>
      <c r="J42" s="800"/>
      <c r="K42" s="802"/>
      <c r="L42" s="807">
        <f t="shared" si="4"/>
        <v>0</v>
      </c>
      <c r="M42" s="820">
        <f t="shared" si="4"/>
        <v>0</v>
      </c>
      <c r="N42" s="817"/>
      <c r="O42" s="792"/>
      <c r="P42" s="1005" t="str">
        <f t="shared" si="5"/>
        <v/>
      </c>
    </row>
    <row r="43" spans="1:16">
      <c r="A43" s="793">
        <v>8</v>
      </c>
      <c r="B43" s="1092"/>
      <c r="C43" s="800"/>
      <c r="D43" s="804"/>
      <c r="E43" s="800"/>
      <c r="F43" s="804"/>
      <c r="G43" s="810"/>
      <c r="H43" s="813">
        <f t="shared" si="6"/>
        <v>0</v>
      </c>
      <c r="I43" s="1541"/>
      <c r="J43" s="800"/>
      <c r="K43" s="802"/>
      <c r="L43" s="807">
        <f t="shared" si="4"/>
        <v>0</v>
      </c>
      <c r="M43" s="820">
        <f t="shared" si="4"/>
        <v>0</v>
      </c>
      <c r="N43" s="817"/>
      <c r="O43" s="792"/>
      <c r="P43" s="1005" t="str">
        <f t="shared" si="5"/>
        <v/>
      </c>
    </row>
    <row r="44" spans="1:16">
      <c r="A44" s="793">
        <v>9</v>
      </c>
      <c r="B44" s="1092"/>
      <c r="C44" s="800"/>
      <c r="D44" s="804"/>
      <c r="E44" s="800"/>
      <c r="F44" s="804"/>
      <c r="G44" s="810"/>
      <c r="H44" s="813">
        <f t="shared" si="6"/>
        <v>0</v>
      </c>
      <c r="I44" s="1541"/>
      <c r="J44" s="800"/>
      <c r="K44" s="802"/>
      <c r="L44" s="807">
        <f t="shared" si="4"/>
        <v>0</v>
      </c>
      <c r="M44" s="820">
        <f t="shared" si="4"/>
        <v>0</v>
      </c>
      <c r="N44" s="817"/>
      <c r="O44" s="792"/>
      <c r="P44" s="1005" t="str">
        <f t="shared" si="5"/>
        <v/>
      </c>
    </row>
    <row r="45" spans="1:16">
      <c r="A45" s="797">
        <v>10</v>
      </c>
      <c r="B45" s="1093"/>
      <c r="C45" s="798"/>
      <c r="D45" s="831"/>
      <c r="E45" s="798"/>
      <c r="F45" s="831"/>
      <c r="G45" s="811"/>
      <c r="H45" s="814">
        <f t="shared" si="6"/>
        <v>0</v>
      </c>
      <c r="I45" s="1542"/>
      <c r="J45" s="798"/>
      <c r="K45" s="815"/>
      <c r="L45" s="808">
        <f t="shared" si="4"/>
        <v>0</v>
      </c>
      <c r="M45" s="821">
        <f t="shared" si="4"/>
        <v>0</v>
      </c>
      <c r="N45" s="818"/>
      <c r="O45" s="795"/>
      <c r="P45" s="1005" t="str">
        <f t="shared" si="5"/>
        <v/>
      </c>
    </row>
    <row r="46" spans="1:16">
      <c r="A46" s="1543" t="s">
        <v>831</v>
      </c>
      <c r="B46" s="1544"/>
      <c r="C46" s="849">
        <f>+SUM(C36:C45)</f>
        <v>0</v>
      </c>
      <c r="D46" s="850">
        <f>+SUM(D36:D45)</f>
        <v>0</v>
      </c>
      <c r="E46" s="851">
        <f>+SUM(E36:E45)</f>
        <v>0</v>
      </c>
      <c r="F46" s="852">
        <f>+SUM(F36:F45)</f>
        <v>0</v>
      </c>
      <c r="G46" s="853"/>
      <c r="H46" s="854">
        <f>SUM(H36:H45)</f>
        <v>0</v>
      </c>
      <c r="I46" s="998" t="e">
        <f>+(E36*G36+E37*G37+E38*G38+E39*G39+E40*G40+E41*G41+E42*G42+E43*G43+E44*G44+E45*G45)/E46</f>
        <v>#DIV/0!</v>
      </c>
      <c r="J46" s="849">
        <f>+SUM(J36:J45)</f>
        <v>0</v>
      </c>
      <c r="K46" s="850">
        <f>+SUM(K36:K45)</f>
        <v>0</v>
      </c>
      <c r="L46" s="849">
        <f>+SUM(L36:L45)</f>
        <v>0</v>
      </c>
      <c r="M46" s="850">
        <f>+SUM(M36:M45)</f>
        <v>0</v>
      </c>
      <c r="N46" s="858">
        <f>+MAX(N36:N45)</f>
        <v>0</v>
      </c>
      <c r="O46" s="891">
        <f t="array" ref="O46">+MIN(IF(O36:O45&gt;0,O36:O45))</f>
        <v>0</v>
      </c>
    </row>
    <row r="47" spans="1:16">
      <c r="A47" s="1545" t="s">
        <v>839</v>
      </c>
      <c r="B47" s="1546"/>
      <c r="C47" s="1546"/>
      <c r="D47" s="1546"/>
      <c r="E47" s="1546"/>
      <c r="F47" s="1546"/>
      <c r="G47" s="1546"/>
      <c r="H47" s="1546"/>
      <c r="I47" s="1546"/>
      <c r="J47" s="1546"/>
      <c r="K47" s="1546"/>
      <c r="L47" s="1546"/>
      <c r="M47" s="1546"/>
      <c r="N47" s="1546"/>
      <c r="O47" s="1547"/>
    </row>
    <row r="48" spans="1:16">
      <c r="A48" s="796">
        <v>1</v>
      </c>
      <c r="B48" s="1094"/>
      <c r="C48" s="799"/>
      <c r="D48" s="801"/>
      <c r="E48" s="799"/>
      <c r="F48" s="801"/>
      <c r="G48" s="828"/>
      <c r="H48" s="812">
        <f>+E48*G48</f>
        <v>0</v>
      </c>
      <c r="I48" s="1540" t="e">
        <f>H58/E58</f>
        <v>#DIV/0!</v>
      </c>
      <c r="J48" s="799"/>
      <c r="K48" s="801"/>
      <c r="L48" s="806">
        <f t="shared" ref="L48:M57" si="7">+C48+E48-J48</f>
        <v>0</v>
      </c>
      <c r="M48" s="819">
        <f t="shared" si="7"/>
        <v>0</v>
      </c>
      <c r="N48" s="816"/>
      <c r="O48" s="794"/>
      <c r="P48" s="1005" t="str">
        <f t="shared" ref="P48:P57" si="8">+IF(E48&gt;0,IF(AND(G48&gt;0,G48&lt;0.15,N48&gt;0,N48&lt;0.15,O48&gt;=0,O48&lt;0.15),"","ХЖДХ болон дээд, доод хүүг сараар шивнэ үү."),"")</f>
        <v/>
      </c>
    </row>
    <row r="49" spans="1:16">
      <c r="A49" s="793">
        <v>2</v>
      </c>
      <c r="B49" s="1092"/>
      <c r="C49" s="800"/>
      <c r="D49" s="804"/>
      <c r="E49" s="800"/>
      <c r="F49" s="804"/>
      <c r="G49" s="829"/>
      <c r="H49" s="813">
        <f t="shared" ref="H49:H57" si="9">+E49*G49</f>
        <v>0</v>
      </c>
      <c r="I49" s="1541"/>
      <c r="J49" s="800"/>
      <c r="K49" s="802"/>
      <c r="L49" s="807">
        <f t="shared" si="7"/>
        <v>0</v>
      </c>
      <c r="M49" s="820">
        <f t="shared" si="7"/>
        <v>0</v>
      </c>
      <c r="N49" s="817"/>
      <c r="O49" s="792"/>
      <c r="P49" s="1005" t="str">
        <f t="shared" si="8"/>
        <v/>
      </c>
    </row>
    <row r="50" spans="1:16">
      <c r="A50" s="793">
        <v>3</v>
      </c>
      <c r="B50" s="1092"/>
      <c r="C50" s="800"/>
      <c r="D50" s="804"/>
      <c r="E50" s="800"/>
      <c r="F50" s="804"/>
      <c r="G50" s="829"/>
      <c r="H50" s="813">
        <f t="shared" si="9"/>
        <v>0</v>
      </c>
      <c r="I50" s="1541"/>
      <c r="J50" s="800"/>
      <c r="K50" s="802"/>
      <c r="L50" s="807">
        <f t="shared" si="7"/>
        <v>0</v>
      </c>
      <c r="M50" s="820">
        <f t="shared" si="7"/>
        <v>0</v>
      </c>
      <c r="N50" s="817"/>
      <c r="O50" s="792"/>
      <c r="P50" s="1005" t="str">
        <f t="shared" si="8"/>
        <v/>
      </c>
    </row>
    <row r="51" spans="1:16">
      <c r="A51" s="793">
        <v>4</v>
      </c>
      <c r="B51" s="1092"/>
      <c r="C51" s="800"/>
      <c r="D51" s="804"/>
      <c r="E51" s="800"/>
      <c r="F51" s="804"/>
      <c r="G51" s="829"/>
      <c r="H51" s="813">
        <f t="shared" si="9"/>
        <v>0</v>
      </c>
      <c r="I51" s="1541"/>
      <c r="J51" s="800"/>
      <c r="K51" s="802"/>
      <c r="L51" s="807">
        <f t="shared" si="7"/>
        <v>0</v>
      </c>
      <c r="M51" s="820">
        <f t="shared" si="7"/>
        <v>0</v>
      </c>
      <c r="N51" s="817"/>
      <c r="O51" s="792"/>
      <c r="P51" s="1005" t="str">
        <f t="shared" si="8"/>
        <v/>
      </c>
    </row>
    <row r="52" spans="1:16">
      <c r="A52" s="793">
        <v>5</v>
      </c>
      <c r="B52" s="1092"/>
      <c r="C52" s="800"/>
      <c r="D52" s="804"/>
      <c r="E52" s="800"/>
      <c r="F52" s="804"/>
      <c r="G52" s="829"/>
      <c r="H52" s="813">
        <f t="shared" si="9"/>
        <v>0</v>
      </c>
      <c r="I52" s="1541"/>
      <c r="J52" s="800"/>
      <c r="K52" s="802"/>
      <c r="L52" s="807">
        <f t="shared" si="7"/>
        <v>0</v>
      </c>
      <c r="M52" s="820">
        <f t="shared" si="7"/>
        <v>0</v>
      </c>
      <c r="N52" s="817"/>
      <c r="O52" s="792"/>
      <c r="P52" s="1005" t="str">
        <f t="shared" si="8"/>
        <v/>
      </c>
    </row>
    <row r="53" spans="1:16">
      <c r="A53" s="793">
        <v>6</v>
      </c>
      <c r="B53" s="1092"/>
      <c r="C53" s="800"/>
      <c r="D53" s="804"/>
      <c r="E53" s="800"/>
      <c r="F53" s="804"/>
      <c r="G53" s="829"/>
      <c r="H53" s="813">
        <f t="shared" si="9"/>
        <v>0</v>
      </c>
      <c r="I53" s="1541"/>
      <c r="J53" s="800"/>
      <c r="K53" s="802"/>
      <c r="L53" s="807">
        <f t="shared" si="7"/>
        <v>0</v>
      </c>
      <c r="M53" s="820">
        <f t="shared" si="7"/>
        <v>0</v>
      </c>
      <c r="N53" s="817"/>
      <c r="O53" s="792"/>
      <c r="P53" s="1005" t="str">
        <f t="shared" si="8"/>
        <v/>
      </c>
    </row>
    <row r="54" spans="1:16">
      <c r="A54" s="793">
        <v>7</v>
      </c>
      <c r="B54" s="1092"/>
      <c r="C54" s="800"/>
      <c r="D54" s="804"/>
      <c r="E54" s="800"/>
      <c r="F54" s="804"/>
      <c r="G54" s="829"/>
      <c r="H54" s="813">
        <f t="shared" si="9"/>
        <v>0</v>
      </c>
      <c r="I54" s="1541"/>
      <c r="J54" s="800"/>
      <c r="K54" s="802"/>
      <c r="L54" s="807">
        <f t="shared" si="7"/>
        <v>0</v>
      </c>
      <c r="M54" s="820">
        <f t="shared" si="7"/>
        <v>0</v>
      </c>
      <c r="N54" s="817"/>
      <c r="O54" s="792"/>
      <c r="P54" s="1005" t="str">
        <f t="shared" si="8"/>
        <v/>
      </c>
    </row>
    <row r="55" spans="1:16">
      <c r="A55" s="793">
        <v>8</v>
      </c>
      <c r="B55" s="1092"/>
      <c r="C55" s="800"/>
      <c r="D55" s="804"/>
      <c r="E55" s="800"/>
      <c r="F55" s="804"/>
      <c r="G55" s="829"/>
      <c r="H55" s="813">
        <f t="shared" si="9"/>
        <v>0</v>
      </c>
      <c r="I55" s="1541"/>
      <c r="J55" s="800"/>
      <c r="K55" s="802"/>
      <c r="L55" s="807">
        <f t="shared" si="7"/>
        <v>0</v>
      </c>
      <c r="M55" s="820">
        <f t="shared" si="7"/>
        <v>0</v>
      </c>
      <c r="N55" s="817"/>
      <c r="O55" s="792"/>
      <c r="P55" s="1005" t="str">
        <f t="shared" si="8"/>
        <v/>
      </c>
    </row>
    <row r="56" spans="1:16">
      <c r="A56" s="793">
        <v>9</v>
      </c>
      <c r="B56" s="1092"/>
      <c r="C56" s="800"/>
      <c r="D56" s="804"/>
      <c r="E56" s="800"/>
      <c r="F56" s="804"/>
      <c r="G56" s="829"/>
      <c r="H56" s="813">
        <f t="shared" si="9"/>
        <v>0</v>
      </c>
      <c r="I56" s="1541"/>
      <c r="J56" s="800"/>
      <c r="K56" s="802"/>
      <c r="L56" s="807">
        <f t="shared" si="7"/>
        <v>0</v>
      </c>
      <c r="M56" s="820">
        <f t="shared" si="7"/>
        <v>0</v>
      </c>
      <c r="N56" s="817"/>
      <c r="O56" s="792"/>
      <c r="P56" s="1005" t="str">
        <f t="shared" si="8"/>
        <v/>
      </c>
    </row>
    <row r="57" spans="1:16">
      <c r="A57" s="797">
        <v>10</v>
      </c>
      <c r="B57" s="1095"/>
      <c r="C57" s="798"/>
      <c r="D57" s="831"/>
      <c r="E57" s="798"/>
      <c r="F57" s="805"/>
      <c r="G57" s="836"/>
      <c r="H57" s="837">
        <f t="shared" si="9"/>
        <v>0</v>
      </c>
      <c r="I57" s="1542"/>
      <c r="J57" s="798"/>
      <c r="K57" s="815"/>
      <c r="L57" s="808">
        <f>+C57+E57-J57</f>
        <v>0</v>
      </c>
      <c r="M57" s="821">
        <f t="shared" si="7"/>
        <v>0</v>
      </c>
      <c r="N57" s="818"/>
      <c r="O57" s="795"/>
      <c r="P57" s="1005" t="str">
        <f t="shared" si="8"/>
        <v/>
      </c>
    </row>
    <row r="58" spans="1:16">
      <c r="A58" s="1543" t="s">
        <v>831</v>
      </c>
      <c r="B58" s="1544"/>
      <c r="C58" s="851">
        <f>+SUM(C48:C57)</f>
        <v>0</v>
      </c>
      <c r="D58" s="852">
        <f>+SUM(D48:D57)</f>
        <v>0</v>
      </c>
      <c r="E58" s="849">
        <f>+SUM(E48:E57)</f>
        <v>0</v>
      </c>
      <c r="F58" s="850">
        <f>+SUM(F48:F57)</f>
        <v>0</v>
      </c>
      <c r="G58" s="856"/>
      <c r="H58" s="859">
        <f>SUM(H48:H57)</f>
        <v>0</v>
      </c>
      <c r="I58" s="1051" t="e">
        <f>+(E48*G48+E49*G49+E50*G50+E51*G51+E52*G52+E53*G53+E54*G54+E55*G55+E56*G56+E57*G57)/E58</f>
        <v>#DIV/0!</v>
      </c>
      <c r="J58" s="851">
        <f>+SUM(J48:J57)</f>
        <v>0</v>
      </c>
      <c r="K58" s="852">
        <f>+SUM(K48:K57)</f>
        <v>0</v>
      </c>
      <c r="L58" s="849">
        <f>+SUM(L48:L57)</f>
        <v>0</v>
      </c>
      <c r="M58" s="850">
        <f>+SUM(M48:M57)</f>
        <v>0</v>
      </c>
      <c r="N58" s="858">
        <f>+MAX(N48:N57)</f>
        <v>0</v>
      </c>
      <c r="O58" s="891">
        <f t="array" ref="O58">+MIN(IF(O48:O57&gt;0,O48:O57))</f>
        <v>0</v>
      </c>
      <c r="P58" s="970"/>
    </row>
    <row r="59" spans="1:16">
      <c r="A59" s="1548" t="s">
        <v>670</v>
      </c>
      <c r="B59" s="1549"/>
      <c r="C59" s="841">
        <f>+C46+C58</f>
        <v>0</v>
      </c>
      <c r="D59" s="840">
        <f>+D46+D58</f>
        <v>0</v>
      </c>
      <c r="E59" s="838">
        <f>+E46+E58</f>
        <v>0</v>
      </c>
      <c r="F59" s="839">
        <f>+F46+F58</f>
        <v>0</v>
      </c>
      <c r="G59" s="789"/>
      <c r="H59" s="788">
        <f>+H46+H58</f>
        <v>0</v>
      </c>
      <c r="I59" s="1052" t="e">
        <f>+(E36*G36+E37*G37+E38*G38+E39*G39+E40*G40+E41*G41+E42*G42+E43*G43+E44*G44+E45*G45+E48*G48+E49*G49+E50*G50+E51*G51+E52*G52+E53*G53+E54*G54+E55*G55+E56*G56+E57*G57)/E59</f>
        <v>#DIV/0!</v>
      </c>
      <c r="J59" s="838">
        <f>+J46+J58</f>
        <v>0</v>
      </c>
      <c r="K59" s="839">
        <f>+K46+K58</f>
        <v>0</v>
      </c>
      <c r="L59" s="838">
        <f>+L46+L58</f>
        <v>0</v>
      </c>
      <c r="M59" s="839">
        <f>+M46+M58</f>
        <v>0</v>
      </c>
      <c r="N59" s="790">
        <f>+MAX(N36:N45,N48:N57)</f>
        <v>0</v>
      </c>
      <c r="O59" s="791">
        <f>IF(O58=0,O46,MIN(O46,O58))</f>
        <v>0</v>
      </c>
      <c r="P59" s="970" t="str">
        <f>IF(L59=Balancesheet!G14,"","Балансын дүнтэй зөрүүтэй байна.")</f>
        <v/>
      </c>
    </row>
    <row r="60" spans="1:16">
      <c r="A60" s="1550" t="s">
        <v>840</v>
      </c>
      <c r="B60" s="1551"/>
      <c r="C60" s="1551"/>
      <c r="D60" s="1551"/>
      <c r="E60" s="1551"/>
      <c r="F60" s="1551"/>
      <c r="G60" s="1551"/>
      <c r="H60" s="1551"/>
      <c r="I60" s="1551"/>
      <c r="J60" s="1551"/>
      <c r="K60" s="1551"/>
      <c r="L60" s="1551"/>
      <c r="M60" s="1551"/>
      <c r="N60" s="1551"/>
      <c r="O60" s="1552"/>
      <c r="P60" s="970"/>
    </row>
    <row r="61" spans="1:16" ht="26.25" customHeight="1">
      <c r="A61" s="1559" t="s">
        <v>841</v>
      </c>
      <c r="B61" s="1560"/>
      <c r="C61" s="860">
        <v>0</v>
      </c>
      <c r="D61" s="861"/>
      <c r="E61" s="799"/>
      <c r="F61" s="832"/>
      <c r="G61" s="809"/>
      <c r="H61" s="812">
        <f t="shared" ref="H61:H67" si="10">+E61*G61</f>
        <v>0</v>
      </c>
      <c r="I61" s="1556" t="e">
        <f>+H68/E68</f>
        <v>#DIV/0!</v>
      </c>
      <c r="J61" s="799"/>
      <c r="K61" s="832"/>
      <c r="L61" s="806">
        <f t="shared" ref="L61" si="11">+C61+E61-J61</f>
        <v>0</v>
      </c>
      <c r="M61" s="819">
        <f t="shared" ref="M61" si="12">+D61+F61-K61</f>
        <v>0</v>
      </c>
      <c r="N61" s="816"/>
      <c r="O61" s="794"/>
      <c r="P61" s="970" t="str">
        <f>IF((L61=Balancesheet!G15),"","Балансын дүнгээс "&amp;L61-Balancesheet!G15&amp;"-ээр зөрүүтэй байна")</f>
        <v/>
      </c>
    </row>
    <row r="62" spans="1:16">
      <c r="A62" s="1534" t="s">
        <v>842</v>
      </c>
      <c r="B62" s="1535"/>
      <c r="C62" s="862">
        <v>0</v>
      </c>
      <c r="D62" s="863"/>
      <c r="E62" s="800"/>
      <c r="F62" s="833"/>
      <c r="G62" s="810"/>
      <c r="H62" s="813">
        <f t="shared" si="10"/>
        <v>0</v>
      </c>
      <c r="I62" s="1557"/>
      <c r="J62" s="800"/>
      <c r="K62" s="833"/>
      <c r="L62" s="807">
        <f t="shared" ref="L62" si="13">+C62+E62-J62</f>
        <v>0</v>
      </c>
      <c r="M62" s="820">
        <f t="shared" ref="M62" si="14">+D62+F62-K62</f>
        <v>0</v>
      </c>
      <c r="N62" s="817"/>
      <c r="O62" s="792"/>
      <c r="P62" s="970" t="str">
        <f>IF((L62=Balancesheet!G16),"","Балансын дүнгээс "&amp;L62-Balancesheet!G16&amp;"-ээр зөрүүтэй байна")</f>
        <v/>
      </c>
    </row>
    <row r="63" spans="1:16">
      <c r="A63" s="1534" t="s">
        <v>843</v>
      </c>
      <c r="B63" s="1535"/>
      <c r="C63" s="862">
        <v>0</v>
      </c>
      <c r="D63" s="863"/>
      <c r="E63" s="800"/>
      <c r="F63" s="833"/>
      <c r="G63" s="810"/>
      <c r="H63" s="813">
        <f t="shared" si="10"/>
        <v>0</v>
      </c>
      <c r="I63" s="1557"/>
      <c r="J63" s="800"/>
      <c r="K63" s="833"/>
      <c r="L63" s="807">
        <f t="shared" ref="L63:L66" si="15">+C63+E63-J63</f>
        <v>0</v>
      </c>
      <c r="M63" s="820">
        <f t="shared" ref="M63:M67" si="16">+D63+F63-K63</f>
        <v>0</v>
      </c>
      <c r="N63" s="817"/>
      <c r="O63" s="792"/>
      <c r="P63" s="970" t="str">
        <f>IF((L63=Balancesheet!G17),"","Балансын дүнгээс "&amp;L63-Balancesheet!G17&amp;"-ээр зөрүүтэй байна")</f>
        <v/>
      </c>
    </row>
    <row r="64" spans="1:16">
      <c r="A64" s="1534" t="s">
        <v>844</v>
      </c>
      <c r="B64" s="1535"/>
      <c r="C64" s="862">
        <v>0</v>
      </c>
      <c r="D64" s="863"/>
      <c r="E64" s="800"/>
      <c r="F64" s="833"/>
      <c r="G64" s="810"/>
      <c r="H64" s="813">
        <f t="shared" si="10"/>
        <v>0</v>
      </c>
      <c r="I64" s="1557"/>
      <c r="J64" s="800"/>
      <c r="K64" s="833"/>
      <c r="L64" s="807">
        <f t="shared" si="15"/>
        <v>0</v>
      </c>
      <c r="M64" s="820">
        <f t="shared" si="16"/>
        <v>0</v>
      </c>
      <c r="N64" s="817"/>
      <c r="O64" s="792"/>
      <c r="P64" s="970" t="str">
        <f>IF((L64=Balancesheet!G18),"","Балансын дүнгээс "&amp;L64-Balancesheet!G18&amp;"-ээр зөрүүтэй байна")</f>
        <v/>
      </c>
    </row>
    <row r="65" spans="1:16">
      <c r="A65" s="1534" t="s">
        <v>845</v>
      </c>
      <c r="B65" s="1535"/>
      <c r="C65" s="862">
        <v>0</v>
      </c>
      <c r="D65" s="863"/>
      <c r="E65" s="800"/>
      <c r="F65" s="833"/>
      <c r="G65" s="810"/>
      <c r="H65" s="813">
        <f t="shared" si="10"/>
        <v>0</v>
      </c>
      <c r="I65" s="1557"/>
      <c r="J65" s="800"/>
      <c r="K65" s="833"/>
      <c r="L65" s="807">
        <f t="shared" si="15"/>
        <v>0</v>
      </c>
      <c r="M65" s="820">
        <f t="shared" si="16"/>
        <v>0</v>
      </c>
      <c r="N65" s="817"/>
      <c r="O65" s="792"/>
      <c r="P65" s="970" t="str">
        <f>IF((L65=Balancesheet!G19),"","Балансын дүнгээс "&amp;L65-Balancesheet!G19&amp;"-ээр зөрүүтэй байна")</f>
        <v/>
      </c>
    </row>
    <row r="66" spans="1:16">
      <c r="A66" s="1534" t="s">
        <v>846</v>
      </c>
      <c r="B66" s="1535"/>
      <c r="C66" s="862">
        <v>0</v>
      </c>
      <c r="D66" s="863"/>
      <c r="E66" s="800"/>
      <c r="F66" s="833"/>
      <c r="G66" s="810"/>
      <c r="H66" s="813">
        <f t="shared" si="10"/>
        <v>0</v>
      </c>
      <c r="I66" s="1557"/>
      <c r="J66" s="800"/>
      <c r="K66" s="833"/>
      <c r="L66" s="807">
        <f t="shared" si="15"/>
        <v>0</v>
      </c>
      <c r="M66" s="820">
        <f t="shared" si="16"/>
        <v>0</v>
      </c>
      <c r="N66" s="817"/>
      <c r="O66" s="792"/>
      <c r="P66" s="970" t="str">
        <f>IF((L66=Balancesheet!G20),"","Балансын дүнгээс "&amp;L66-Balancesheet!G20&amp;"-ээр зөрүүтэй байна")</f>
        <v/>
      </c>
    </row>
    <row r="67" spans="1:16" ht="27" customHeight="1">
      <c r="A67" s="1536" t="s">
        <v>847</v>
      </c>
      <c r="B67" s="1537"/>
      <c r="C67" s="864">
        <v>0</v>
      </c>
      <c r="D67" s="865"/>
      <c r="E67" s="798"/>
      <c r="F67" s="834"/>
      <c r="G67" s="835"/>
      <c r="H67" s="814">
        <f t="shared" si="10"/>
        <v>0</v>
      </c>
      <c r="I67" s="1558"/>
      <c r="J67" s="798"/>
      <c r="K67" s="834"/>
      <c r="L67" s="808">
        <f>+C67+E67-J67</f>
        <v>0</v>
      </c>
      <c r="M67" s="821">
        <f t="shared" si="16"/>
        <v>0</v>
      </c>
      <c r="N67" s="818"/>
      <c r="O67" s="795"/>
      <c r="P67" s="970" t="str">
        <f>IF((L67=Balancesheet!G21),"","Балансын дүнгээс "&amp;L67-Balancesheet!G21&amp;"-ээр зөрүүтэй байна")</f>
        <v/>
      </c>
    </row>
    <row r="68" spans="1:16" ht="15.75" thickBot="1">
      <c r="A68" s="1554" t="s">
        <v>670</v>
      </c>
      <c r="B68" s="1555"/>
      <c r="C68" s="894">
        <f>+SUM(C61:C67)</f>
        <v>0</v>
      </c>
      <c r="D68" s="895">
        <f>+SUM(D61:D67)</f>
        <v>0</v>
      </c>
      <c r="E68" s="896">
        <f>+SUM(E61:E67)</f>
        <v>0</v>
      </c>
      <c r="F68" s="897">
        <f>+SUM(F61:F67)</f>
        <v>0</v>
      </c>
      <c r="G68" s="898"/>
      <c r="H68" s="899">
        <f>+SUM(H61:H67)</f>
        <v>0</v>
      </c>
      <c r="I68" s="999"/>
      <c r="J68" s="894">
        <f>+SUM(J61:J67)</f>
        <v>0</v>
      </c>
      <c r="K68" s="895">
        <f>+SUM(K61:K67)</f>
        <v>0</v>
      </c>
      <c r="L68" s="896">
        <f>+SUM(L61:L67)</f>
        <v>0</v>
      </c>
      <c r="M68" s="1037">
        <f>+SUM(M61:M67)</f>
        <v>0</v>
      </c>
      <c r="N68" s="900">
        <f>+MAX(N61:N67)</f>
        <v>0</v>
      </c>
      <c r="O68" s="901">
        <f t="array" ref="O68">+MIN(IF(O61:O67&gt;0,O61:O67))</f>
        <v>0</v>
      </c>
      <c r="P68" s="970"/>
    </row>
    <row r="69" spans="1:16">
      <c r="A69" s="784"/>
      <c r="B69" s="784"/>
      <c r="C69" s="784"/>
      <c r="D69" s="784"/>
      <c r="E69" s="785"/>
      <c r="F69" s="786"/>
      <c r="G69" s="787"/>
      <c r="H69" s="787"/>
      <c r="I69" s="787"/>
      <c r="J69" s="785"/>
      <c r="K69" s="786"/>
      <c r="L69" s="787"/>
      <c r="M69" s="787"/>
      <c r="N69" s="787"/>
      <c r="O69" s="787"/>
    </row>
    <row r="70" spans="1:16">
      <c r="E70" s="471" t="str">
        <f>IF(E59=E68,"","Татан төвлөрүүлсэн хадгаламжийн дүн хугацаагаар ангилсан дүнгээс зөрүүтэй")</f>
        <v/>
      </c>
      <c r="F70" s="471" t="str">
        <f>IF(F59=F68,"","Татан төвлөрүүлсэн хадгаламжийн тоо зөрүүтэй")</f>
        <v/>
      </c>
      <c r="J70" s="471" t="str">
        <f>IF(J59=J68,"","Буцаан олгосон хадгаламжийн дүн хугацаагаар ангилсан дүнгээс зөрүүтэй")</f>
        <v/>
      </c>
      <c r="K70" s="471" t="str">
        <f>IF(K59=K68,"","Буцаан олгосон хадгаламжийн тоо зөрүүтэй")</f>
        <v/>
      </c>
    </row>
    <row r="71" spans="1:16" ht="15" customHeight="1">
      <c r="A71" s="1434" t="s">
        <v>647</v>
      </c>
      <c r="B71" s="1434"/>
      <c r="C71" s="1434"/>
      <c r="D71" s="1434"/>
      <c r="E71" s="1434"/>
      <c r="F71" s="1434"/>
      <c r="G71" s="1434"/>
      <c r="H71" s="1434"/>
      <c r="I71" s="1434"/>
      <c r="J71" s="1434"/>
      <c r="K71" s="1434"/>
      <c r="L71" s="1434"/>
      <c r="M71" s="1434"/>
      <c r="N71" s="1434"/>
      <c r="O71" s="1434"/>
    </row>
    <row r="72" spans="1:16">
      <c r="A72" s="1553" t="s">
        <v>848</v>
      </c>
      <c r="B72" s="1423"/>
      <c r="C72" s="1423"/>
      <c r="D72" s="1423"/>
      <c r="E72" s="1423"/>
      <c r="F72" s="1423"/>
      <c r="G72" s="1423"/>
      <c r="H72" s="1423"/>
      <c r="I72" s="1423"/>
      <c r="J72" s="1423"/>
      <c r="K72" s="1423"/>
      <c r="L72" s="1423"/>
      <c r="M72" s="1423"/>
      <c r="N72" s="1423"/>
      <c r="O72" s="1423"/>
    </row>
    <row r="73" spans="1:16">
      <c r="A73" s="1553" t="s">
        <v>849</v>
      </c>
      <c r="B73" s="1423"/>
      <c r="C73" s="1423"/>
      <c r="D73" s="1423"/>
      <c r="E73" s="1423"/>
      <c r="F73" s="1423"/>
      <c r="G73" s="1423"/>
      <c r="H73" s="1423"/>
      <c r="I73" s="1423"/>
      <c r="J73" s="1423"/>
      <c r="K73" s="1423"/>
      <c r="L73" s="1423"/>
      <c r="M73" s="1423"/>
      <c r="N73" s="1423"/>
      <c r="O73" s="1423"/>
    </row>
    <row r="74" spans="1:16">
      <c r="A74" s="1538" t="s">
        <v>850</v>
      </c>
      <c r="B74" s="1423"/>
      <c r="C74" s="1423"/>
      <c r="D74" s="1423"/>
      <c r="E74" s="1423"/>
      <c r="F74" s="1423"/>
      <c r="G74" s="1423"/>
      <c r="H74" s="1423"/>
      <c r="I74" s="1423"/>
      <c r="J74" s="1423"/>
      <c r="K74" s="1423"/>
      <c r="L74" s="1423"/>
      <c r="M74" s="1423"/>
      <c r="N74" s="1423"/>
      <c r="O74" s="1423"/>
    </row>
    <row r="75" spans="1:16">
      <c r="A75" s="1538" t="s">
        <v>851</v>
      </c>
      <c r="B75" s="1423"/>
      <c r="C75" s="1423"/>
      <c r="D75" s="1423"/>
      <c r="E75" s="1423"/>
      <c r="F75" s="1423"/>
      <c r="G75" s="1423"/>
      <c r="H75" s="1423"/>
      <c r="I75" s="1423"/>
      <c r="J75" s="1423"/>
      <c r="K75" s="1423"/>
      <c r="L75" s="1423"/>
      <c r="M75" s="1423"/>
      <c r="N75" s="1423"/>
      <c r="O75" s="1423"/>
    </row>
    <row r="76" spans="1:16">
      <c r="A76" s="1538" t="s">
        <v>852</v>
      </c>
      <c r="B76" s="1423"/>
      <c r="C76" s="1423"/>
      <c r="D76" s="1423"/>
      <c r="E76" s="1423"/>
      <c r="F76" s="1423"/>
      <c r="G76" s="1423"/>
      <c r="H76" s="1423"/>
      <c r="I76" s="1423"/>
      <c r="J76" s="1423"/>
      <c r="K76" s="1423"/>
      <c r="L76" s="1423"/>
      <c r="M76" s="1423"/>
      <c r="N76" s="1423"/>
      <c r="O76" s="1423"/>
    </row>
    <row r="77" spans="1:16">
      <c r="A77" s="1539" t="s">
        <v>853</v>
      </c>
      <c r="B77" s="1539"/>
      <c r="C77" s="1539"/>
      <c r="D77" s="1539"/>
      <c r="E77" s="1539"/>
      <c r="F77" s="1539"/>
      <c r="G77" s="1539"/>
      <c r="H77" s="1539"/>
      <c r="I77" s="1539"/>
      <c r="J77" s="1539"/>
      <c r="K77" s="1539"/>
      <c r="L77" s="1539"/>
      <c r="M77" s="1539"/>
      <c r="N77" s="1539"/>
      <c r="O77" s="1539"/>
    </row>
    <row r="78" spans="1:16">
      <c r="A78" s="966" t="s">
        <v>854</v>
      </c>
      <c r="B78" s="966"/>
      <c r="C78" s="966"/>
      <c r="D78" s="966"/>
      <c r="E78" s="966"/>
      <c r="F78" s="966"/>
      <c r="G78" s="966"/>
      <c r="H78" s="966"/>
      <c r="I78" s="966"/>
      <c r="J78" s="966"/>
      <c r="K78" s="966"/>
      <c r="L78" s="966"/>
      <c r="M78" s="966"/>
      <c r="N78" s="966"/>
      <c r="O78" s="966"/>
    </row>
    <row r="79" spans="1:16">
      <c r="A79" s="180" t="s">
        <v>855</v>
      </c>
      <c r="B79" s="166"/>
    </row>
    <row r="80" spans="1:16">
      <c r="A80" s="180" t="s">
        <v>856</v>
      </c>
      <c r="B80" s="166"/>
    </row>
    <row r="81" spans="1:15">
      <c r="A81" s="180" t="s">
        <v>857</v>
      </c>
      <c r="B81" s="166"/>
    </row>
    <row r="82" spans="1:15">
      <c r="A82" s="1509" t="s">
        <v>111</v>
      </c>
      <c r="B82" s="1509"/>
      <c r="C82" s="1509"/>
      <c r="D82" s="1509"/>
      <c r="E82" s="1509"/>
      <c r="F82" s="1509"/>
      <c r="G82" s="1509"/>
      <c r="H82" s="1509"/>
      <c r="I82" s="1509"/>
      <c r="J82" s="1509"/>
      <c r="K82" s="1509"/>
      <c r="L82" s="1509"/>
      <c r="M82" s="1509"/>
      <c r="N82" s="1509"/>
      <c r="O82" s="1509"/>
    </row>
    <row r="83" spans="1:15">
      <c r="A83" s="1510" t="s">
        <v>112</v>
      </c>
      <c r="B83" s="1510"/>
      <c r="C83" s="1510"/>
      <c r="D83" s="1510"/>
      <c r="E83" s="1510"/>
      <c r="F83" s="1510"/>
      <c r="G83" s="1510"/>
      <c r="H83" s="1510"/>
      <c r="I83" s="1510"/>
      <c r="J83" s="1510"/>
      <c r="K83" s="1510"/>
      <c r="L83" s="1510"/>
      <c r="M83" s="1510"/>
      <c r="N83" s="1510"/>
      <c r="O83" s="1510"/>
    </row>
    <row r="84" spans="1:15">
      <c r="E84" s="41"/>
      <c r="H84" s="1"/>
    </row>
    <row r="85" spans="1:15">
      <c r="F85" s="40" t="s">
        <v>392</v>
      </c>
      <c r="H85" s="1" t="str">
        <f>+STATISTICS!C112</f>
        <v>/Нэр/</v>
      </c>
    </row>
    <row r="86" spans="1:15">
      <c r="F86" s="42"/>
      <c r="H86" s="1"/>
    </row>
    <row r="87" spans="1:15">
      <c r="F87" s="40" t="s">
        <v>115</v>
      </c>
      <c r="H87" s="1" t="str">
        <f>+STATISTICS!C114</f>
        <v>/Нэр/</v>
      </c>
    </row>
  </sheetData>
  <sheetProtection algorithmName="SHA-512" hashValue="x18vJ2xAqoSJuiKgV8iGJ1XjcHRzhuxsMbFA2Erbive2JLLcOj/hYrQK6r9ES3X0NVL/mQ6/Gwr1Hhj/7Smdaw==" saltValue="LP2B8FNixamftPu89IliEQ==" spinCount="100000" sheet="1" objects="1" scenarios="1"/>
  <mergeCells count="38">
    <mergeCell ref="A61:B61"/>
    <mergeCell ref="A62:B62"/>
    <mergeCell ref="A63:B63"/>
    <mergeCell ref="A9:O9"/>
    <mergeCell ref="J1:O1"/>
    <mergeCell ref="A3:O3"/>
    <mergeCell ref="A4:O4"/>
    <mergeCell ref="A5:O5"/>
    <mergeCell ref="A7:B7"/>
    <mergeCell ref="A33:B33"/>
    <mergeCell ref="A35:O35"/>
    <mergeCell ref="I10:I19"/>
    <mergeCell ref="A20:B20"/>
    <mergeCell ref="A21:O21"/>
    <mergeCell ref="I22:I31"/>
    <mergeCell ref="A32:B32"/>
    <mergeCell ref="A76:O76"/>
    <mergeCell ref="A77:O77"/>
    <mergeCell ref="A82:O82"/>
    <mergeCell ref="A83:O83"/>
    <mergeCell ref="I36:I45"/>
    <mergeCell ref="A46:B46"/>
    <mergeCell ref="A47:O47"/>
    <mergeCell ref="I48:I57"/>
    <mergeCell ref="A74:O74"/>
    <mergeCell ref="A59:B59"/>
    <mergeCell ref="A60:O60"/>
    <mergeCell ref="A72:O72"/>
    <mergeCell ref="A73:O73"/>
    <mergeCell ref="A68:B68"/>
    <mergeCell ref="I61:I67"/>
    <mergeCell ref="A58:B58"/>
    <mergeCell ref="A64:B64"/>
    <mergeCell ref="A65:B65"/>
    <mergeCell ref="A66:B66"/>
    <mergeCell ref="A67:B67"/>
    <mergeCell ref="A75:O75"/>
    <mergeCell ref="A71:O71"/>
  </mergeCells>
  <conditionalFormatting sqref="G10:G20 N10:O20">
    <cfRule type="cellIs" dxfId="10" priority="25" operator="greaterThan">
      <formula>1</formula>
    </cfRule>
  </conditionalFormatting>
  <conditionalFormatting sqref="G22:G33">
    <cfRule type="cellIs" dxfId="9" priority="14" operator="greaterThan">
      <formula>1</formula>
    </cfRule>
  </conditionalFormatting>
  <conditionalFormatting sqref="G36:G46">
    <cfRule type="cellIs" dxfId="8" priority="12" operator="greaterThan">
      <formula>1</formula>
    </cfRule>
  </conditionalFormatting>
  <conditionalFormatting sqref="G48:G59">
    <cfRule type="cellIs" dxfId="7" priority="11" operator="greaterThan">
      <formula>1</formula>
    </cfRule>
  </conditionalFormatting>
  <conditionalFormatting sqref="G61:G67">
    <cfRule type="cellIs" dxfId="6" priority="10" operator="greaterThan">
      <formula>1</formula>
    </cfRule>
  </conditionalFormatting>
  <conditionalFormatting sqref="L10:M20 L22:M33 L36:M46 L48:M59">
    <cfRule type="cellIs" dxfId="5" priority="1" operator="lessThan">
      <formula>0</formula>
    </cfRule>
  </conditionalFormatting>
  <conditionalFormatting sqref="L61:M68">
    <cfRule type="cellIs" dxfId="4" priority="2" operator="lessThan">
      <formula>0</formula>
    </cfRule>
  </conditionalFormatting>
  <conditionalFormatting sqref="N22:O33">
    <cfRule type="cellIs" dxfId="3" priority="22" operator="greaterThan">
      <formula>1</formula>
    </cfRule>
  </conditionalFormatting>
  <conditionalFormatting sqref="N36:O46">
    <cfRule type="cellIs" dxfId="2" priority="21" operator="greaterThan">
      <formula>1</formula>
    </cfRule>
  </conditionalFormatting>
  <conditionalFormatting sqref="N48:O59">
    <cfRule type="cellIs" dxfId="1" priority="19" operator="greaterThan">
      <formula>1</formula>
    </cfRule>
  </conditionalFormatting>
  <conditionalFormatting sqref="N61:O68">
    <cfRule type="cellIs" dxfId="0" priority="4" operator="greaterThan">
      <formula>1</formula>
    </cfRule>
  </conditionalFormatting>
  <dataValidations xWindow="1257" yWindow="877" count="7">
    <dataValidation type="decimal" allowBlank="1" showInputMessage="1" showErrorMessage="1" prompt="Хүү сарын 1.5% бол мэдээллийг 0.15, 0.015 бус 1.5 гэж оруулахыг анхаарна уу!" sqref="N61:O67 N10:O19 G10:G19 N22:O31 G22:G31 N36:O45 G36:G45 N48:O57 G48:G57 G61:G67" xr:uid="{046D4C73-F7D0-4C65-B208-E66F87F7E5AF}">
      <formula1>0</formula1>
      <formula2>0.2</formula2>
    </dataValidation>
    <dataValidation type="whole" allowBlank="1" showInputMessage="1" showErrorMessage="1" sqref="F61:F69 K61:K69 F34 D68 M68" xr:uid="{99AC70A0-C8EA-4BBF-9E3E-044052F0BA4E}">
      <formula1>0</formula1>
      <formula2>1000000000000</formula2>
    </dataValidation>
    <dataValidation type="decimal" allowBlank="1" showInputMessage="1" showErrorMessage="1" sqref="J69 E69" xr:uid="{7441B556-DD77-4257-9222-2956E99180B9}">
      <formula1>0</formula1>
      <formula2>1E+21</formula2>
    </dataValidation>
    <dataValidation type="textLength" operator="greaterThan" allowBlank="1" showInputMessage="1" showErrorMessage="1" prompt="Хадгаламжийн бүтээгдэхүүний нэрийг бичнэ үү_x000a_" sqref="B48:B57 B36:B45 B22:B31 B10:B19" xr:uid="{08366A08-EF08-4EFC-BAA6-857739279260}">
      <formula1>1</formula1>
    </dataValidation>
    <dataValidation type="whole" allowBlank="1" showInputMessage="1" showErrorMessage="1" sqref="D48:D59 F48:F59 K48:K59 M48:M59 M36:M46 K36:K46 F36:F46 D36:D46 D22:D33 F22:F33 K22:K33 M22:M33 M10:M20 K10:K20 F10:F20 D10:D20 M61:M67" xr:uid="{C06D1A12-999B-4FC4-B8B8-DB4734478AC8}">
      <formula1>0</formula1>
      <formula2>100000000000</formula2>
    </dataValidation>
    <dataValidation type="decimal" allowBlank="1" showInputMessage="1" showErrorMessage="1" sqref="C10:C20 C22:C33 E22:E33 E10:E20 J10:J20 J22:J33 L22:L33 L10:L20 C36:C46 C48:C59 E36:E46 J36:J46 L36:L46 L48:L59 J48:J59 E48:E59" xr:uid="{5C2CC12E-8B84-47E4-A206-3C869185ADBF}">
      <formula1>0</formula1>
      <formula2>100000000000000</formula2>
    </dataValidation>
    <dataValidation type="decimal" allowBlank="1" showInputMessage="1" showErrorMessage="1" sqref="E61:E68 C61:C68 H61:H68 H48:H59 H36:H46 H22:H33 H10:H20 J61:J68 L61:L68" xr:uid="{7EBFF7F6-8DA1-498C-95EA-F45B38767168}">
      <formula1>0</formula1>
      <formula2>10000000000000000000</formula2>
    </dataValidation>
  </dataValidations>
  <pageMargins left="0.7" right="0.7" top="0.75" bottom="0.75" header="0.3" footer="0.3"/>
  <pageSetup paperSize="9" scale="5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C9A5-0A02-4103-BD8D-241BC499C351}">
  <dimension ref="A1:AC101"/>
  <sheetViews>
    <sheetView topLeftCell="A46" zoomScale="77" zoomScaleNormal="77" workbookViewId="0">
      <selection activeCell="I9" sqref="I9:I10"/>
    </sheetView>
  </sheetViews>
  <sheetFormatPr defaultRowHeight="12.75"/>
  <cols>
    <col min="1" max="1" width="3.140625" style="180" customWidth="1"/>
    <col min="2" max="2" width="24" style="180" customWidth="1"/>
    <col min="3" max="3" width="13" style="180" customWidth="1"/>
    <col min="4" max="4" width="10.140625" style="180" customWidth="1"/>
    <col min="5" max="5" width="22" style="180" customWidth="1"/>
    <col min="6" max="6" width="13.85546875" style="180" customWidth="1"/>
    <col min="7" max="7" width="24" style="29" customWidth="1"/>
    <col min="8" max="10" width="13.85546875" style="180" customWidth="1"/>
    <col min="11" max="11" width="22.85546875" style="29" bestFit="1" customWidth="1"/>
    <col min="12" max="12" width="21.42578125" style="180" customWidth="1"/>
    <col min="13" max="13" width="22" style="180" customWidth="1"/>
    <col min="14" max="14" width="16" style="180" customWidth="1"/>
    <col min="15" max="15" width="12" style="180" customWidth="1"/>
    <col min="16" max="16" width="24" style="180" customWidth="1"/>
    <col min="17" max="17" width="13" style="180" customWidth="1"/>
    <col min="18" max="16384" width="9.140625" style="180"/>
  </cols>
  <sheetData>
    <row r="1" spans="1:29">
      <c r="A1" s="7"/>
      <c r="B1" s="7"/>
      <c r="C1" s="7"/>
      <c r="D1" s="7"/>
      <c r="E1" s="7"/>
      <c r="F1" s="7"/>
      <c r="H1" s="7"/>
      <c r="I1" s="6"/>
      <c r="M1" s="469"/>
      <c r="N1" s="469"/>
      <c r="O1" s="469"/>
      <c r="P1" s="469"/>
      <c r="Q1" s="58" t="s">
        <v>34</v>
      </c>
      <c r="R1" s="7"/>
      <c r="S1" s="7"/>
      <c r="T1" s="7"/>
      <c r="U1" s="7"/>
      <c r="V1" s="7"/>
      <c r="W1" s="7"/>
      <c r="X1" s="7"/>
      <c r="Y1" s="7"/>
      <c r="Z1" s="7"/>
      <c r="AA1" s="7"/>
      <c r="AB1" s="7"/>
      <c r="AC1" s="7"/>
    </row>
    <row r="2" spans="1:29">
      <c r="A2" s="7"/>
      <c r="B2" s="7"/>
      <c r="C2" s="7"/>
      <c r="D2" s="7"/>
      <c r="E2" s="7"/>
      <c r="F2" s="7"/>
      <c r="H2" s="7"/>
      <c r="I2" s="6"/>
      <c r="M2" s="58"/>
      <c r="N2" s="58"/>
      <c r="O2" s="58"/>
      <c r="P2" s="469"/>
      <c r="Q2" s="58" t="s">
        <v>858</v>
      </c>
      <c r="R2" s="7"/>
      <c r="S2" s="7"/>
      <c r="T2" s="7"/>
      <c r="U2" s="7"/>
      <c r="V2" s="7"/>
      <c r="W2" s="7"/>
      <c r="X2" s="7"/>
      <c r="Y2" s="7"/>
      <c r="Z2" s="7"/>
      <c r="AA2" s="7"/>
      <c r="AB2" s="7"/>
      <c r="AC2" s="7"/>
    </row>
    <row r="3" spans="1:29">
      <c r="A3" s="7"/>
      <c r="B3" s="7"/>
      <c r="C3" s="7"/>
      <c r="D3" s="7"/>
      <c r="E3" s="7"/>
      <c r="F3" s="7"/>
      <c r="H3" s="7"/>
      <c r="I3" s="7"/>
      <c r="J3" s="7"/>
      <c r="L3" s="7"/>
      <c r="M3" s="7"/>
      <c r="N3" s="7"/>
      <c r="O3" s="472"/>
      <c r="P3" s="473"/>
      <c r="Q3" s="7"/>
      <c r="R3" s="7"/>
      <c r="S3" s="7"/>
      <c r="T3" s="7"/>
      <c r="U3" s="7"/>
      <c r="V3" s="7"/>
      <c r="W3" s="7"/>
      <c r="X3" s="7"/>
      <c r="Y3" s="7"/>
      <c r="Z3" s="7"/>
      <c r="AA3" s="7"/>
      <c r="AB3" s="7"/>
      <c r="AC3" s="7"/>
    </row>
    <row r="4" spans="1:29">
      <c r="A4" s="1419" t="s">
        <v>859</v>
      </c>
      <c r="B4" s="1419"/>
      <c r="C4" s="1419"/>
      <c r="D4" s="1419"/>
      <c r="E4" s="1419"/>
      <c r="F4" s="1419"/>
      <c r="G4" s="1419"/>
      <c r="H4" s="1419"/>
      <c r="I4" s="1419"/>
      <c r="J4" s="1419"/>
      <c r="K4" s="1419"/>
      <c r="L4" s="1419"/>
      <c r="M4" s="1419"/>
      <c r="N4" s="1419"/>
      <c r="O4" s="1419"/>
      <c r="P4" s="1419"/>
      <c r="Q4" s="1419"/>
      <c r="R4" s="7"/>
      <c r="S4" s="7"/>
      <c r="T4" s="7"/>
      <c r="U4" s="7"/>
      <c r="V4" s="7"/>
      <c r="W4" s="7"/>
      <c r="X4" s="7"/>
      <c r="Y4" s="7"/>
      <c r="Z4" s="7"/>
      <c r="AA4" s="7"/>
      <c r="AB4" s="7"/>
      <c r="AC4" s="7"/>
    </row>
    <row r="5" spans="1:29">
      <c r="A5" s="1420" t="str">
        <f>+STATISTICS!A5</f>
        <v>ХАДГАЛАМЖ, ЗЭЭЛИЙН ХОРШООНЫ НЭР</v>
      </c>
      <c r="B5" s="1420"/>
      <c r="C5" s="1420"/>
      <c r="D5" s="1420"/>
      <c r="E5" s="1420"/>
      <c r="F5" s="1420"/>
      <c r="G5" s="1420"/>
      <c r="H5" s="1420"/>
      <c r="I5" s="1420"/>
      <c r="J5" s="1420"/>
      <c r="K5" s="1420"/>
      <c r="L5" s="1420"/>
      <c r="M5" s="1420"/>
      <c r="N5" s="1420"/>
      <c r="O5" s="1420"/>
      <c r="P5" s="1420"/>
      <c r="Q5" s="1420"/>
      <c r="R5" s="7"/>
      <c r="S5" s="7"/>
      <c r="T5" s="7"/>
      <c r="U5" s="7"/>
      <c r="V5" s="7"/>
      <c r="W5" s="7"/>
      <c r="X5" s="7"/>
      <c r="Y5" s="7"/>
      <c r="Z5" s="7"/>
      <c r="AA5" s="7"/>
      <c r="AB5" s="7"/>
      <c r="AC5" s="7"/>
    </row>
    <row r="6" spans="1:29">
      <c r="A6" s="1419" t="s">
        <v>38</v>
      </c>
      <c r="B6" s="1419"/>
      <c r="C6" s="1419"/>
      <c r="D6" s="1419"/>
      <c r="E6" s="1419"/>
      <c r="F6" s="1419"/>
      <c r="G6" s="1419"/>
      <c r="H6" s="1419"/>
      <c r="I6" s="1419"/>
      <c r="J6" s="1419"/>
      <c r="K6" s="1419"/>
      <c r="L6" s="1419"/>
      <c r="M6" s="1419"/>
      <c r="N6" s="1419"/>
      <c r="O6" s="1419"/>
      <c r="P6" s="1419"/>
      <c r="Q6" s="1419"/>
      <c r="R6" s="7"/>
      <c r="S6" s="7"/>
      <c r="T6" s="7"/>
      <c r="U6" s="7"/>
      <c r="V6" s="7"/>
      <c r="W6" s="7"/>
      <c r="X6" s="7"/>
      <c r="Y6" s="7"/>
      <c r="Z6" s="7"/>
      <c r="AA6" s="7"/>
      <c r="AB6" s="7"/>
      <c r="AC6" s="7"/>
    </row>
    <row r="8" spans="1:29" ht="13.5" thickBot="1">
      <c r="A8" s="1580"/>
      <c r="B8" s="1580"/>
      <c r="Q8" s="474" t="s">
        <v>117</v>
      </c>
    </row>
    <row r="9" spans="1:29">
      <c r="A9" s="1581" t="s">
        <v>39</v>
      </c>
      <c r="B9" s="1583" t="s">
        <v>860</v>
      </c>
      <c r="C9" s="1576"/>
      <c r="D9" s="1584"/>
      <c r="E9" s="1586" t="s">
        <v>861</v>
      </c>
      <c r="F9" s="1588" t="s">
        <v>862</v>
      </c>
      <c r="G9" s="1576" t="s">
        <v>863</v>
      </c>
      <c r="H9" s="1576" t="s">
        <v>864</v>
      </c>
      <c r="I9" s="1576" t="s">
        <v>865</v>
      </c>
      <c r="J9" s="1576" t="s">
        <v>866</v>
      </c>
      <c r="K9" s="1576" t="s">
        <v>867</v>
      </c>
      <c r="L9" s="1576" t="s">
        <v>868</v>
      </c>
      <c r="M9" s="1576" t="s">
        <v>869</v>
      </c>
      <c r="N9" s="1592" t="s">
        <v>870</v>
      </c>
      <c r="O9" s="1578" t="s">
        <v>871</v>
      </c>
      <c r="P9" s="1576" t="s">
        <v>872</v>
      </c>
      <c r="Q9" s="1578" t="s">
        <v>873</v>
      </c>
    </row>
    <row r="10" spans="1:29" ht="52.5" customHeight="1" thickBot="1">
      <c r="A10" s="1582"/>
      <c r="B10" s="475" t="s">
        <v>874</v>
      </c>
      <c r="C10" s="476" t="s">
        <v>875</v>
      </c>
      <c r="D10" s="917" t="s">
        <v>876</v>
      </c>
      <c r="E10" s="1587"/>
      <c r="F10" s="1589"/>
      <c r="G10" s="1585"/>
      <c r="H10" s="1577"/>
      <c r="I10" s="1577"/>
      <c r="J10" s="1577"/>
      <c r="K10" s="1585"/>
      <c r="L10" s="1577"/>
      <c r="M10" s="1577"/>
      <c r="N10" s="1593"/>
      <c r="O10" s="1579"/>
      <c r="P10" s="1577"/>
      <c r="Q10" s="1579"/>
    </row>
    <row r="11" spans="1:29">
      <c r="A11" s="477">
        <v>1</v>
      </c>
      <c r="B11" s="478"/>
      <c r="C11" s="908"/>
      <c r="D11" s="479"/>
      <c r="E11" s="480"/>
      <c r="F11" s="481"/>
      <c r="G11" s="1029"/>
      <c r="H11" s="482"/>
      <c r="I11" s="482"/>
      <c r="J11" s="482"/>
      <c r="K11" s="1030"/>
      <c r="L11" s="484"/>
      <c r="M11" s="484"/>
      <c r="N11" s="504"/>
      <c r="O11" s="926" t="e">
        <f>+M11/Balancesheet!$G$59</f>
        <v>#DIV/0!</v>
      </c>
      <c r="P11" s="909">
        <f>+SUMIF($C$11:$C$60,C11,$M$11:$M$60)</f>
        <v>0</v>
      </c>
      <c r="Q11" s="907" t="e">
        <f>+P11/Balancesheet!$G$59</f>
        <v>#DIV/0!</v>
      </c>
    </row>
    <row r="12" spans="1:29">
      <c r="A12" s="485">
        <v>2</v>
      </c>
      <c r="B12" s="486"/>
      <c r="C12" s="908"/>
      <c r="D12" s="479"/>
      <c r="E12" s="488"/>
      <c r="F12" s="489"/>
      <c r="G12" s="1029"/>
      <c r="H12" s="490"/>
      <c r="I12" s="490"/>
      <c r="J12" s="490"/>
      <c r="K12" s="1030"/>
      <c r="L12" s="492"/>
      <c r="M12" s="492"/>
      <c r="N12" s="504"/>
      <c r="O12" s="926" t="e">
        <f>+M12/Balancesheet!$G$59</f>
        <v>#DIV/0!</v>
      </c>
      <c r="P12" s="909">
        <f t="shared" ref="P12:P59" si="0">+SUMIF($C$11:$C$60,C12,$M$11:$M$60)</f>
        <v>0</v>
      </c>
      <c r="Q12" s="907" t="e">
        <f>+P12/Balancesheet!$G$59</f>
        <v>#DIV/0!</v>
      </c>
    </row>
    <row r="13" spans="1:29">
      <c r="A13" s="485">
        <v>3</v>
      </c>
      <c r="B13" s="478"/>
      <c r="C13" s="908"/>
      <c r="D13" s="479"/>
      <c r="E13" s="488"/>
      <c r="F13" s="489"/>
      <c r="G13" s="1029"/>
      <c r="H13" s="483"/>
      <c r="I13" s="490"/>
      <c r="J13" s="490"/>
      <c r="K13" s="1030"/>
      <c r="L13" s="492"/>
      <c r="M13" s="492"/>
      <c r="N13" s="504"/>
      <c r="O13" s="926" t="e">
        <f>+M13/Balancesheet!$G$59</f>
        <v>#DIV/0!</v>
      </c>
      <c r="P13" s="909">
        <f t="shared" si="0"/>
        <v>0</v>
      </c>
      <c r="Q13" s="907" t="e">
        <f>+P13/Balancesheet!$G$59</f>
        <v>#DIV/0!</v>
      </c>
    </row>
    <row r="14" spans="1:29">
      <c r="A14" s="485">
        <v>4</v>
      </c>
      <c r="B14" s="486"/>
      <c r="C14" s="908"/>
      <c r="D14" s="479"/>
      <c r="E14" s="488"/>
      <c r="F14" s="489"/>
      <c r="G14" s="1029"/>
      <c r="H14" s="490"/>
      <c r="I14" s="490"/>
      <c r="J14" s="490"/>
      <c r="K14" s="1030"/>
      <c r="L14" s="492"/>
      <c r="M14" s="492"/>
      <c r="N14" s="504"/>
      <c r="O14" s="926" t="e">
        <f>+M14/Balancesheet!$G$59</f>
        <v>#DIV/0!</v>
      </c>
      <c r="P14" s="909">
        <f t="shared" si="0"/>
        <v>0</v>
      </c>
      <c r="Q14" s="907" t="e">
        <f>+P14/Balancesheet!$G$59</f>
        <v>#DIV/0!</v>
      </c>
    </row>
    <row r="15" spans="1:29">
      <c r="A15" s="485">
        <v>5</v>
      </c>
      <c r="B15" s="486"/>
      <c r="C15" s="908"/>
      <c r="D15" s="479"/>
      <c r="E15" s="488"/>
      <c r="F15" s="489"/>
      <c r="G15" s="1029"/>
      <c r="H15" s="490"/>
      <c r="I15" s="490"/>
      <c r="J15" s="490"/>
      <c r="K15" s="1030"/>
      <c r="L15" s="492"/>
      <c r="M15" s="492"/>
      <c r="N15" s="504"/>
      <c r="O15" s="926" t="e">
        <f>+M15/Balancesheet!$G$59</f>
        <v>#DIV/0!</v>
      </c>
      <c r="P15" s="909">
        <f t="shared" si="0"/>
        <v>0</v>
      </c>
      <c r="Q15" s="907" t="e">
        <f>+P15/Balancesheet!$G$59</f>
        <v>#DIV/0!</v>
      </c>
    </row>
    <row r="16" spans="1:29">
      <c r="A16" s="485">
        <v>6</v>
      </c>
      <c r="B16" s="486"/>
      <c r="C16" s="908"/>
      <c r="D16" s="479"/>
      <c r="E16" s="488"/>
      <c r="F16" s="489"/>
      <c r="G16" s="1029"/>
      <c r="H16" s="490"/>
      <c r="I16" s="490"/>
      <c r="J16" s="490"/>
      <c r="K16" s="1030"/>
      <c r="L16" s="492"/>
      <c r="M16" s="492"/>
      <c r="N16" s="504"/>
      <c r="O16" s="926" t="e">
        <f>+M16/Balancesheet!$G$59</f>
        <v>#DIV/0!</v>
      </c>
      <c r="P16" s="909">
        <f t="shared" si="0"/>
        <v>0</v>
      </c>
      <c r="Q16" s="907" t="e">
        <f>+P16/Balancesheet!$G$59</f>
        <v>#DIV/0!</v>
      </c>
    </row>
    <row r="17" spans="1:17">
      <c r="A17" s="485">
        <v>7</v>
      </c>
      <c r="B17" s="486"/>
      <c r="C17" s="908"/>
      <c r="D17" s="479"/>
      <c r="E17" s="488"/>
      <c r="F17" s="489"/>
      <c r="G17" s="1029"/>
      <c r="H17" s="490"/>
      <c r="I17" s="490"/>
      <c r="J17" s="490"/>
      <c r="K17" s="1030"/>
      <c r="L17" s="492"/>
      <c r="M17" s="492"/>
      <c r="N17" s="504"/>
      <c r="O17" s="926" t="e">
        <f>+M17/Balancesheet!$G$59</f>
        <v>#DIV/0!</v>
      </c>
      <c r="P17" s="909">
        <f t="shared" si="0"/>
        <v>0</v>
      </c>
      <c r="Q17" s="907" t="e">
        <f>+P17/Balancesheet!$G$59</f>
        <v>#DIV/0!</v>
      </c>
    </row>
    <row r="18" spans="1:17">
      <c r="A18" s="485">
        <v>8</v>
      </c>
      <c r="B18" s="486"/>
      <c r="C18" s="908"/>
      <c r="D18" s="479"/>
      <c r="E18" s="488"/>
      <c r="F18" s="489"/>
      <c r="G18" s="1029"/>
      <c r="H18" s="490"/>
      <c r="I18" s="490"/>
      <c r="J18" s="490"/>
      <c r="K18" s="1030"/>
      <c r="L18" s="492"/>
      <c r="M18" s="492"/>
      <c r="N18" s="504"/>
      <c r="O18" s="926" t="e">
        <f>+M18/Balancesheet!$G$59</f>
        <v>#DIV/0!</v>
      </c>
      <c r="P18" s="909">
        <f t="shared" si="0"/>
        <v>0</v>
      </c>
      <c r="Q18" s="907" t="e">
        <f>+P18/Balancesheet!$G$59</f>
        <v>#DIV/0!</v>
      </c>
    </row>
    <row r="19" spans="1:17">
      <c r="A19" s="485">
        <v>9</v>
      </c>
      <c r="B19" s="486"/>
      <c r="C19" s="908"/>
      <c r="D19" s="479"/>
      <c r="E19" s="488"/>
      <c r="F19" s="489"/>
      <c r="G19" s="1029"/>
      <c r="H19" s="490"/>
      <c r="I19" s="490"/>
      <c r="J19" s="490"/>
      <c r="K19" s="1030"/>
      <c r="L19" s="492"/>
      <c r="M19" s="492"/>
      <c r="N19" s="504"/>
      <c r="O19" s="926" t="e">
        <f>+M19/Balancesheet!$G$59</f>
        <v>#DIV/0!</v>
      </c>
      <c r="P19" s="909">
        <f t="shared" si="0"/>
        <v>0</v>
      </c>
      <c r="Q19" s="907" t="e">
        <f>+P19/Balancesheet!$G$59</f>
        <v>#DIV/0!</v>
      </c>
    </row>
    <row r="20" spans="1:17">
      <c r="A20" s="485">
        <v>10</v>
      </c>
      <c r="B20" s="486"/>
      <c r="C20" s="908"/>
      <c r="D20" s="479"/>
      <c r="E20" s="488"/>
      <c r="F20" s="489"/>
      <c r="G20" s="1029"/>
      <c r="H20" s="490"/>
      <c r="I20" s="490"/>
      <c r="J20" s="490"/>
      <c r="K20" s="1030"/>
      <c r="L20" s="492"/>
      <c r="M20" s="492"/>
      <c r="N20" s="504"/>
      <c r="O20" s="926" t="e">
        <f>+M20/Balancesheet!$G$59</f>
        <v>#DIV/0!</v>
      </c>
      <c r="P20" s="909">
        <f t="shared" si="0"/>
        <v>0</v>
      </c>
      <c r="Q20" s="907" t="e">
        <f>+P20/Balancesheet!$G$59</f>
        <v>#DIV/0!</v>
      </c>
    </row>
    <row r="21" spans="1:17">
      <c r="A21" s="485">
        <v>11</v>
      </c>
      <c r="B21" s="486"/>
      <c r="C21" s="908"/>
      <c r="D21" s="479"/>
      <c r="E21" s="488"/>
      <c r="F21" s="489"/>
      <c r="G21" s="1029"/>
      <c r="H21" s="490"/>
      <c r="I21" s="490"/>
      <c r="J21" s="490"/>
      <c r="K21" s="1030"/>
      <c r="L21" s="492"/>
      <c r="M21" s="492"/>
      <c r="N21" s="504"/>
      <c r="O21" s="926" t="e">
        <f>+M21/Balancesheet!$G$59</f>
        <v>#DIV/0!</v>
      </c>
      <c r="P21" s="909">
        <f t="shared" si="0"/>
        <v>0</v>
      </c>
      <c r="Q21" s="907" t="e">
        <f>+P21/Balancesheet!$G$59</f>
        <v>#DIV/0!</v>
      </c>
    </row>
    <row r="22" spans="1:17">
      <c r="A22" s="485">
        <v>12</v>
      </c>
      <c r="B22" s="486"/>
      <c r="C22" s="908"/>
      <c r="D22" s="479"/>
      <c r="E22" s="488"/>
      <c r="F22" s="489"/>
      <c r="G22" s="1029"/>
      <c r="H22" s="490"/>
      <c r="I22" s="490"/>
      <c r="J22" s="490"/>
      <c r="K22" s="1030"/>
      <c r="L22" s="492"/>
      <c r="M22" s="492"/>
      <c r="N22" s="504"/>
      <c r="O22" s="926" t="e">
        <f>+M22/Balancesheet!$G$59</f>
        <v>#DIV/0!</v>
      </c>
      <c r="P22" s="909">
        <f t="shared" si="0"/>
        <v>0</v>
      </c>
      <c r="Q22" s="907" t="e">
        <f>+P22/Balancesheet!$G$59</f>
        <v>#DIV/0!</v>
      </c>
    </row>
    <row r="23" spans="1:17">
      <c r="A23" s="485">
        <v>13</v>
      </c>
      <c r="B23" s="486"/>
      <c r="C23" s="908"/>
      <c r="D23" s="479"/>
      <c r="E23" s="488"/>
      <c r="F23" s="489"/>
      <c r="G23" s="1029"/>
      <c r="H23" s="490"/>
      <c r="I23" s="490"/>
      <c r="J23" s="490"/>
      <c r="K23" s="1030"/>
      <c r="L23" s="492"/>
      <c r="M23" s="492"/>
      <c r="N23" s="504"/>
      <c r="O23" s="926" t="e">
        <f>+M23/Balancesheet!$G$59</f>
        <v>#DIV/0!</v>
      </c>
      <c r="P23" s="909">
        <f t="shared" si="0"/>
        <v>0</v>
      </c>
      <c r="Q23" s="907" t="e">
        <f>+P23/Balancesheet!$G$59</f>
        <v>#DIV/0!</v>
      </c>
    </row>
    <row r="24" spans="1:17">
      <c r="A24" s="485">
        <v>14</v>
      </c>
      <c r="B24" s="486"/>
      <c r="C24" s="908"/>
      <c r="D24" s="479"/>
      <c r="E24" s="488"/>
      <c r="F24" s="489"/>
      <c r="G24" s="1029"/>
      <c r="H24" s="490"/>
      <c r="I24" s="490"/>
      <c r="J24" s="490"/>
      <c r="K24" s="1030"/>
      <c r="L24" s="492"/>
      <c r="M24" s="492"/>
      <c r="N24" s="504"/>
      <c r="O24" s="926" t="e">
        <f>+M24/Balancesheet!$G$59</f>
        <v>#DIV/0!</v>
      </c>
      <c r="P24" s="909">
        <f t="shared" si="0"/>
        <v>0</v>
      </c>
      <c r="Q24" s="907" t="e">
        <f>+P24/Balancesheet!$G$59</f>
        <v>#DIV/0!</v>
      </c>
    </row>
    <row r="25" spans="1:17">
      <c r="A25" s="485">
        <v>15</v>
      </c>
      <c r="B25" s="486"/>
      <c r="C25" s="908"/>
      <c r="D25" s="479"/>
      <c r="E25" s="488"/>
      <c r="F25" s="489"/>
      <c r="G25" s="1029"/>
      <c r="H25" s="490"/>
      <c r="I25" s="490"/>
      <c r="J25" s="490"/>
      <c r="K25" s="1030"/>
      <c r="L25" s="492"/>
      <c r="M25" s="492"/>
      <c r="N25" s="504"/>
      <c r="O25" s="926" t="e">
        <f>+M25/Balancesheet!$G$59</f>
        <v>#DIV/0!</v>
      </c>
      <c r="P25" s="909">
        <f t="shared" si="0"/>
        <v>0</v>
      </c>
      <c r="Q25" s="907" t="e">
        <f>+P25/Balancesheet!$G$59</f>
        <v>#DIV/0!</v>
      </c>
    </row>
    <row r="26" spans="1:17">
      <c r="A26" s="485">
        <v>16</v>
      </c>
      <c r="B26" s="486"/>
      <c r="C26" s="908"/>
      <c r="D26" s="479"/>
      <c r="E26" s="488"/>
      <c r="F26" s="489"/>
      <c r="G26" s="1029"/>
      <c r="H26" s="490"/>
      <c r="I26" s="490"/>
      <c r="J26" s="490"/>
      <c r="K26" s="1030"/>
      <c r="L26" s="492"/>
      <c r="M26" s="492"/>
      <c r="N26" s="504"/>
      <c r="O26" s="926" t="e">
        <f>+M26/Balancesheet!$G$59</f>
        <v>#DIV/0!</v>
      </c>
      <c r="P26" s="909">
        <f t="shared" si="0"/>
        <v>0</v>
      </c>
      <c r="Q26" s="907" t="e">
        <f>+P26/Balancesheet!$G$59</f>
        <v>#DIV/0!</v>
      </c>
    </row>
    <row r="27" spans="1:17">
      <c r="A27" s="485">
        <v>17</v>
      </c>
      <c r="B27" s="486"/>
      <c r="C27" s="908"/>
      <c r="D27" s="479"/>
      <c r="E27" s="488"/>
      <c r="F27" s="489"/>
      <c r="G27" s="1029"/>
      <c r="H27" s="490"/>
      <c r="I27" s="490"/>
      <c r="J27" s="490"/>
      <c r="K27" s="1030"/>
      <c r="L27" s="492"/>
      <c r="M27" s="492"/>
      <c r="N27" s="504"/>
      <c r="O27" s="926" t="e">
        <f>+M27/Balancesheet!$G$59</f>
        <v>#DIV/0!</v>
      </c>
      <c r="P27" s="909">
        <f t="shared" si="0"/>
        <v>0</v>
      </c>
      <c r="Q27" s="907" t="e">
        <f>+P27/Balancesheet!$G$59</f>
        <v>#DIV/0!</v>
      </c>
    </row>
    <row r="28" spans="1:17">
      <c r="A28" s="485">
        <v>18</v>
      </c>
      <c r="B28" s="486"/>
      <c r="C28" s="908"/>
      <c r="D28" s="479"/>
      <c r="E28" s="488"/>
      <c r="F28" s="489"/>
      <c r="G28" s="1029"/>
      <c r="H28" s="490"/>
      <c r="I28" s="490"/>
      <c r="J28" s="490"/>
      <c r="K28" s="1030"/>
      <c r="L28" s="492"/>
      <c r="M28" s="492"/>
      <c r="N28" s="504"/>
      <c r="O28" s="926" t="e">
        <f>+M28/Balancesheet!$G$59</f>
        <v>#DIV/0!</v>
      </c>
      <c r="P28" s="909">
        <f t="shared" si="0"/>
        <v>0</v>
      </c>
      <c r="Q28" s="907" t="e">
        <f>+P28/Balancesheet!$G$59</f>
        <v>#DIV/0!</v>
      </c>
    </row>
    <row r="29" spans="1:17">
      <c r="A29" s="485">
        <v>19</v>
      </c>
      <c r="B29" s="486"/>
      <c r="C29" s="908"/>
      <c r="D29" s="479"/>
      <c r="E29" s="488"/>
      <c r="F29" s="489"/>
      <c r="G29" s="1029"/>
      <c r="H29" s="490"/>
      <c r="I29" s="490"/>
      <c r="J29" s="490"/>
      <c r="K29" s="1030"/>
      <c r="L29" s="492"/>
      <c r="M29" s="492"/>
      <c r="N29" s="504"/>
      <c r="O29" s="926" t="e">
        <f>+M29/Balancesheet!$G$59</f>
        <v>#DIV/0!</v>
      </c>
      <c r="P29" s="909">
        <f t="shared" si="0"/>
        <v>0</v>
      </c>
      <c r="Q29" s="907" t="e">
        <f>+P29/Balancesheet!$G$59</f>
        <v>#DIV/0!</v>
      </c>
    </row>
    <row r="30" spans="1:17">
      <c r="A30" s="485">
        <v>20</v>
      </c>
      <c r="B30" s="486"/>
      <c r="C30" s="908"/>
      <c r="D30" s="479"/>
      <c r="E30" s="488"/>
      <c r="F30" s="489"/>
      <c r="G30" s="1029"/>
      <c r="H30" s="490"/>
      <c r="I30" s="490"/>
      <c r="J30" s="490"/>
      <c r="K30" s="1030"/>
      <c r="L30" s="492"/>
      <c r="M30" s="492"/>
      <c r="N30" s="504"/>
      <c r="O30" s="926" t="e">
        <f>+M30/Balancesheet!$G$59</f>
        <v>#DIV/0!</v>
      </c>
      <c r="P30" s="909">
        <f t="shared" si="0"/>
        <v>0</v>
      </c>
      <c r="Q30" s="907" t="e">
        <f>+P30/Balancesheet!$G$59</f>
        <v>#DIV/0!</v>
      </c>
    </row>
    <row r="31" spans="1:17">
      <c r="A31" s="485">
        <v>21</v>
      </c>
      <c r="B31" s="486"/>
      <c r="C31" s="908"/>
      <c r="D31" s="479"/>
      <c r="E31" s="488"/>
      <c r="F31" s="489"/>
      <c r="G31" s="1029"/>
      <c r="H31" s="490"/>
      <c r="I31" s="490"/>
      <c r="J31" s="490"/>
      <c r="K31" s="1030"/>
      <c r="L31" s="492"/>
      <c r="M31" s="492"/>
      <c r="N31" s="504"/>
      <c r="O31" s="926" t="e">
        <f>+M31/Balancesheet!$G$59</f>
        <v>#DIV/0!</v>
      </c>
      <c r="P31" s="909">
        <f t="shared" si="0"/>
        <v>0</v>
      </c>
      <c r="Q31" s="907" t="e">
        <f>+P31/Balancesheet!$G$59</f>
        <v>#DIV/0!</v>
      </c>
    </row>
    <row r="32" spans="1:17">
      <c r="A32" s="485">
        <v>22</v>
      </c>
      <c r="B32" s="486"/>
      <c r="C32" s="908"/>
      <c r="D32" s="479"/>
      <c r="E32" s="488"/>
      <c r="F32" s="489"/>
      <c r="G32" s="1029"/>
      <c r="H32" s="490"/>
      <c r="I32" s="490"/>
      <c r="J32" s="490"/>
      <c r="K32" s="1030"/>
      <c r="L32" s="492"/>
      <c r="M32" s="492"/>
      <c r="N32" s="504"/>
      <c r="O32" s="926" t="e">
        <f>+M32/Balancesheet!$G$59</f>
        <v>#DIV/0!</v>
      </c>
      <c r="P32" s="909">
        <f t="shared" si="0"/>
        <v>0</v>
      </c>
      <c r="Q32" s="907" t="e">
        <f>+P32/Balancesheet!$G$59</f>
        <v>#DIV/0!</v>
      </c>
    </row>
    <row r="33" spans="1:17">
      <c r="A33" s="485">
        <v>23</v>
      </c>
      <c r="B33" s="486"/>
      <c r="C33" s="908"/>
      <c r="D33" s="479"/>
      <c r="E33" s="488"/>
      <c r="F33" s="489"/>
      <c r="G33" s="1029"/>
      <c r="H33" s="490"/>
      <c r="I33" s="490"/>
      <c r="J33" s="490"/>
      <c r="K33" s="1030"/>
      <c r="L33" s="492"/>
      <c r="M33" s="492"/>
      <c r="N33" s="504"/>
      <c r="O33" s="926" t="e">
        <f>+M33/Balancesheet!$G$59</f>
        <v>#DIV/0!</v>
      </c>
      <c r="P33" s="909">
        <f t="shared" si="0"/>
        <v>0</v>
      </c>
      <c r="Q33" s="907" t="e">
        <f>+P33/Balancesheet!$G$59</f>
        <v>#DIV/0!</v>
      </c>
    </row>
    <row r="34" spans="1:17">
      <c r="A34" s="485">
        <v>24</v>
      </c>
      <c r="B34" s="486"/>
      <c r="C34" s="908"/>
      <c r="D34" s="479"/>
      <c r="E34" s="488"/>
      <c r="F34" s="489"/>
      <c r="G34" s="1029"/>
      <c r="H34" s="490"/>
      <c r="I34" s="490"/>
      <c r="J34" s="490"/>
      <c r="K34" s="1030"/>
      <c r="L34" s="492"/>
      <c r="M34" s="492"/>
      <c r="N34" s="504"/>
      <c r="O34" s="926" t="e">
        <f>+M34/Balancesheet!$G$59</f>
        <v>#DIV/0!</v>
      </c>
      <c r="P34" s="909">
        <f t="shared" si="0"/>
        <v>0</v>
      </c>
      <c r="Q34" s="907" t="e">
        <f>+P34/Balancesheet!$G$59</f>
        <v>#DIV/0!</v>
      </c>
    </row>
    <row r="35" spans="1:17">
      <c r="A35" s="485">
        <v>25</v>
      </c>
      <c r="B35" s="486"/>
      <c r="C35" s="908"/>
      <c r="D35" s="479"/>
      <c r="E35" s="488"/>
      <c r="F35" s="489"/>
      <c r="G35" s="1029"/>
      <c r="H35" s="490"/>
      <c r="I35" s="490"/>
      <c r="J35" s="490"/>
      <c r="K35" s="1030"/>
      <c r="L35" s="492"/>
      <c r="M35" s="492"/>
      <c r="N35" s="504"/>
      <c r="O35" s="926" t="e">
        <f>+M35/Balancesheet!$G$59</f>
        <v>#DIV/0!</v>
      </c>
      <c r="P35" s="909">
        <f t="shared" si="0"/>
        <v>0</v>
      </c>
      <c r="Q35" s="907" t="e">
        <f>+P35/Balancesheet!$G$59</f>
        <v>#DIV/0!</v>
      </c>
    </row>
    <row r="36" spans="1:17">
      <c r="A36" s="485">
        <v>26</v>
      </c>
      <c r="B36" s="486"/>
      <c r="C36" s="908"/>
      <c r="D36" s="479"/>
      <c r="E36" s="488"/>
      <c r="F36" s="489"/>
      <c r="G36" s="1029"/>
      <c r="H36" s="490"/>
      <c r="I36" s="490"/>
      <c r="J36" s="490"/>
      <c r="K36" s="1030"/>
      <c r="L36" s="492"/>
      <c r="M36" s="492"/>
      <c r="N36" s="504"/>
      <c r="O36" s="926" t="e">
        <f>+M36/Balancesheet!$G$59</f>
        <v>#DIV/0!</v>
      </c>
      <c r="P36" s="909">
        <f t="shared" si="0"/>
        <v>0</v>
      </c>
      <c r="Q36" s="907" t="e">
        <f>+P36/Balancesheet!$G$59</f>
        <v>#DIV/0!</v>
      </c>
    </row>
    <row r="37" spans="1:17">
      <c r="A37" s="485">
        <v>27</v>
      </c>
      <c r="B37" s="486"/>
      <c r="C37" s="908"/>
      <c r="D37" s="479"/>
      <c r="E37" s="488"/>
      <c r="F37" s="489"/>
      <c r="G37" s="1029"/>
      <c r="H37" s="490"/>
      <c r="I37" s="490"/>
      <c r="J37" s="490"/>
      <c r="K37" s="1030"/>
      <c r="L37" s="492"/>
      <c r="M37" s="492"/>
      <c r="N37" s="504"/>
      <c r="O37" s="926" t="e">
        <f>+M37/Balancesheet!$G$59</f>
        <v>#DIV/0!</v>
      </c>
      <c r="P37" s="909">
        <f t="shared" si="0"/>
        <v>0</v>
      </c>
      <c r="Q37" s="907" t="e">
        <f>+P37/Balancesheet!$G$59</f>
        <v>#DIV/0!</v>
      </c>
    </row>
    <row r="38" spans="1:17">
      <c r="A38" s="485">
        <v>28</v>
      </c>
      <c r="B38" s="486"/>
      <c r="C38" s="908"/>
      <c r="D38" s="479"/>
      <c r="E38" s="488"/>
      <c r="F38" s="489"/>
      <c r="G38" s="1029"/>
      <c r="H38" s="490"/>
      <c r="I38" s="490"/>
      <c r="J38" s="490"/>
      <c r="K38" s="1030"/>
      <c r="L38" s="492"/>
      <c r="M38" s="492"/>
      <c r="N38" s="504"/>
      <c r="O38" s="926" t="e">
        <f>+M38/Balancesheet!$G$59</f>
        <v>#DIV/0!</v>
      </c>
      <c r="P38" s="909">
        <f t="shared" si="0"/>
        <v>0</v>
      </c>
      <c r="Q38" s="907" t="e">
        <f>+P38/Balancesheet!$G$59</f>
        <v>#DIV/0!</v>
      </c>
    </row>
    <row r="39" spans="1:17">
      <c r="A39" s="485">
        <v>29</v>
      </c>
      <c r="B39" s="486"/>
      <c r="C39" s="908"/>
      <c r="D39" s="479"/>
      <c r="E39" s="488"/>
      <c r="F39" s="489"/>
      <c r="G39" s="1029"/>
      <c r="H39" s="490"/>
      <c r="I39" s="490"/>
      <c r="J39" s="490"/>
      <c r="K39" s="1030"/>
      <c r="L39" s="492"/>
      <c r="M39" s="492"/>
      <c r="N39" s="504"/>
      <c r="O39" s="926" t="e">
        <f>+M39/Balancesheet!$G$59</f>
        <v>#DIV/0!</v>
      </c>
      <c r="P39" s="909">
        <f t="shared" si="0"/>
        <v>0</v>
      </c>
      <c r="Q39" s="907" t="e">
        <f>+P39/Balancesheet!$G$59</f>
        <v>#DIV/0!</v>
      </c>
    </row>
    <row r="40" spans="1:17">
      <c r="A40" s="485">
        <v>30</v>
      </c>
      <c r="B40" s="486"/>
      <c r="C40" s="908"/>
      <c r="D40" s="479"/>
      <c r="E40" s="488"/>
      <c r="F40" s="489"/>
      <c r="G40" s="1029"/>
      <c r="H40" s="490"/>
      <c r="I40" s="490"/>
      <c r="J40" s="490"/>
      <c r="K40" s="1030"/>
      <c r="L40" s="492"/>
      <c r="M40" s="492"/>
      <c r="N40" s="504"/>
      <c r="O40" s="926" t="e">
        <f>+M40/Balancesheet!$G$59</f>
        <v>#DIV/0!</v>
      </c>
      <c r="P40" s="909">
        <f t="shared" si="0"/>
        <v>0</v>
      </c>
      <c r="Q40" s="907" t="e">
        <f>+P40/Balancesheet!$G$59</f>
        <v>#DIV/0!</v>
      </c>
    </row>
    <row r="41" spans="1:17">
      <c r="A41" s="485">
        <v>31</v>
      </c>
      <c r="B41" s="486"/>
      <c r="C41" s="908"/>
      <c r="D41" s="479"/>
      <c r="E41" s="488"/>
      <c r="F41" s="489"/>
      <c r="G41" s="1029"/>
      <c r="H41" s="490"/>
      <c r="I41" s="490"/>
      <c r="J41" s="490"/>
      <c r="K41" s="1030"/>
      <c r="L41" s="492"/>
      <c r="M41" s="492"/>
      <c r="N41" s="504"/>
      <c r="O41" s="926" t="e">
        <f>+M41/Balancesheet!$G$59</f>
        <v>#DIV/0!</v>
      </c>
      <c r="P41" s="909">
        <f t="shared" si="0"/>
        <v>0</v>
      </c>
      <c r="Q41" s="907" t="e">
        <f>+P41/Balancesheet!$G$59</f>
        <v>#DIV/0!</v>
      </c>
    </row>
    <row r="42" spans="1:17">
      <c r="A42" s="485">
        <v>32</v>
      </c>
      <c r="B42" s="486"/>
      <c r="C42" s="908"/>
      <c r="D42" s="479"/>
      <c r="E42" s="488"/>
      <c r="F42" s="489"/>
      <c r="G42" s="1029"/>
      <c r="H42" s="490"/>
      <c r="I42" s="490"/>
      <c r="J42" s="490"/>
      <c r="K42" s="1030"/>
      <c r="L42" s="492"/>
      <c r="M42" s="492"/>
      <c r="N42" s="504"/>
      <c r="O42" s="926" t="e">
        <f>+M42/Balancesheet!$G$59</f>
        <v>#DIV/0!</v>
      </c>
      <c r="P42" s="909">
        <f t="shared" si="0"/>
        <v>0</v>
      </c>
      <c r="Q42" s="907" t="e">
        <f>+P42/Balancesheet!$G$59</f>
        <v>#DIV/0!</v>
      </c>
    </row>
    <row r="43" spans="1:17">
      <c r="A43" s="485">
        <v>33</v>
      </c>
      <c r="B43" s="486"/>
      <c r="C43" s="908"/>
      <c r="D43" s="479"/>
      <c r="E43" s="488"/>
      <c r="F43" s="489"/>
      <c r="G43" s="1029"/>
      <c r="H43" s="490"/>
      <c r="I43" s="490"/>
      <c r="J43" s="490"/>
      <c r="K43" s="1030"/>
      <c r="L43" s="492"/>
      <c r="M43" s="492"/>
      <c r="N43" s="504"/>
      <c r="O43" s="926" t="e">
        <f>+M43/Balancesheet!$G$59</f>
        <v>#DIV/0!</v>
      </c>
      <c r="P43" s="909">
        <f t="shared" si="0"/>
        <v>0</v>
      </c>
      <c r="Q43" s="907" t="e">
        <f>+P43/Balancesheet!$G$59</f>
        <v>#DIV/0!</v>
      </c>
    </row>
    <row r="44" spans="1:17">
      <c r="A44" s="485">
        <v>34</v>
      </c>
      <c r="B44" s="486"/>
      <c r="C44" s="908"/>
      <c r="D44" s="479"/>
      <c r="E44" s="488"/>
      <c r="F44" s="489"/>
      <c r="G44" s="1029"/>
      <c r="H44" s="490"/>
      <c r="I44" s="490"/>
      <c r="J44" s="490"/>
      <c r="K44" s="1030"/>
      <c r="L44" s="492"/>
      <c r="M44" s="492"/>
      <c r="N44" s="504"/>
      <c r="O44" s="926" t="e">
        <f>+M44/Balancesheet!$G$59</f>
        <v>#DIV/0!</v>
      </c>
      <c r="P44" s="909">
        <f t="shared" si="0"/>
        <v>0</v>
      </c>
      <c r="Q44" s="907" t="e">
        <f>+P44/Balancesheet!$G$59</f>
        <v>#DIV/0!</v>
      </c>
    </row>
    <row r="45" spans="1:17">
      <c r="A45" s="485">
        <v>35</v>
      </c>
      <c r="B45" s="486"/>
      <c r="C45" s="908"/>
      <c r="D45" s="479"/>
      <c r="E45" s="488"/>
      <c r="F45" s="489"/>
      <c r="G45" s="1029"/>
      <c r="H45" s="490"/>
      <c r="I45" s="490"/>
      <c r="J45" s="490"/>
      <c r="K45" s="1030"/>
      <c r="L45" s="492"/>
      <c r="M45" s="492"/>
      <c r="N45" s="504"/>
      <c r="O45" s="926" t="e">
        <f>+M45/Balancesheet!$G$59</f>
        <v>#DIV/0!</v>
      </c>
      <c r="P45" s="909">
        <f t="shared" si="0"/>
        <v>0</v>
      </c>
      <c r="Q45" s="907" t="e">
        <f>+P45/Balancesheet!$G$59</f>
        <v>#DIV/0!</v>
      </c>
    </row>
    <row r="46" spans="1:17">
      <c r="A46" s="485">
        <v>36</v>
      </c>
      <c r="B46" s="486"/>
      <c r="C46" s="908"/>
      <c r="D46" s="479"/>
      <c r="E46" s="488"/>
      <c r="F46" s="489"/>
      <c r="G46" s="1029"/>
      <c r="H46" s="490"/>
      <c r="I46" s="490"/>
      <c r="J46" s="490"/>
      <c r="K46" s="1030"/>
      <c r="L46" s="492"/>
      <c r="M46" s="492"/>
      <c r="N46" s="504"/>
      <c r="O46" s="926" t="e">
        <f>+M46/Balancesheet!$G$59</f>
        <v>#DIV/0!</v>
      </c>
      <c r="P46" s="909">
        <f t="shared" si="0"/>
        <v>0</v>
      </c>
      <c r="Q46" s="907" t="e">
        <f>+P46/Balancesheet!$G$59</f>
        <v>#DIV/0!</v>
      </c>
    </row>
    <row r="47" spans="1:17">
      <c r="A47" s="485">
        <v>37</v>
      </c>
      <c r="B47" s="486"/>
      <c r="C47" s="908"/>
      <c r="D47" s="479"/>
      <c r="E47" s="488"/>
      <c r="F47" s="489"/>
      <c r="G47" s="1029"/>
      <c r="H47" s="490"/>
      <c r="I47" s="490"/>
      <c r="J47" s="490"/>
      <c r="K47" s="1030"/>
      <c r="L47" s="492"/>
      <c r="M47" s="492"/>
      <c r="N47" s="504"/>
      <c r="O47" s="926" t="e">
        <f>+M47/Balancesheet!$G$59</f>
        <v>#DIV/0!</v>
      </c>
      <c r="P47" s="909">
        <f t="shared" si="0"/>
        <v>0</v>
      </c>
      <c r="Q47" s="907" t="e">
        <f>+P47/Balancesheet!$G$59</f>
        <v>#DIV/0!</v>
      </c>
    </row>
    <row r="48" spans="1:17">
      <c r="A48" s="485">
        <v>38</v>
      </c>
      <c r="B48" s="486"/>
      <c r="C48" s="908"/>
      <c r="D48" s="479"/>
      <c r="E48" s="488"/>
      <c r="F48" s="489"/>
      <c r="G48" s="1029"/>
      <c r="H48" s="490"/>
      <c r="I48" s="490"/>
      <c r="J48" s="490"/>
      <c r="K48" s="1030"/>
      <c r="L48" s="492"/>
      <c r="M48" s="492"/>
      <c r="N48" s="504"/>
      <c r="O48" s="926" t="e">
        <f>+M48/Balancesheet!$G$59</f>
        <v>#DIV/0!</v>
      </c>
      <c r="P48" s="909">
        <f t="shared" si="0"/>
        <v>0</v>
      </c>
      <c r="Q48" s="907" t="e">
        <f>+P48/Balancesheet!$G$59</f>
        <v>#DIV/0!</v>
      </c>
    </row>
    <row r="49" spans="1:17">
      <c r="A49" s="485">
        <v>39</v>
      </c>
      <c r="B49" s="486"/>
      <c r="C49" s="908"/>
      <c r="D49" s="479"/>
      <c r="E49" s="488"/>
      <c r="F49" s="489"/>
      <c r="G49" s="1029"/>
      <c r="H49" s="490"/>
      <c r="I49" s="490"/>
      <c r="J49" s="490"/>
      <c r="K49" s="1030"/>
      <c r="L49" s="492"/>
      <c r="M49" s="492"/>
      <c r="N49" s="504"/>
      <c r="O49" s="926" t="e">
        <f>+M49/Balancesheet!$G$59</f>
        <v>#DIV/0!</v>
      </c>
      <c r="P49" s="909">
        <f t="shared" si="0"/>
        <v>0</v>
      </c>
      <c r="Q49" s="907" t="e">
        <f>+P49/Balancesheet!$G$59</f>
        <v>#DIV/0!</v>
      </c>
    </row>
    <row r="50" spans="1:17">
      <c r="A50" s="493">
        <v>40</v>
      </c>
      <c r="B50" s="494"/>
      <c r="C50" s="908"/>
      <c r="D50" s="479"/>
      <c r="E50" s="495"/>
      <c r="F50" s="496"/>
      <c r="G50" s="1029"/>
      <c r="H50" s="497"/>
      <c r="I50" s="497"/>
      <c r="J50" s="497"/>
      <c r="K50" s="1030"/>
      <c r="L50" s="498"/>
      <c r="M50" s="498"/>
      <c r="N50" s="504"/>
      <c r="O50" s="926" t="e">
        <f>+M50/Balancesheet!$G$59</f>
        <v>#DIV/0!</v>
      </c>
      <c r="P50" s="909">
        <f t="shared" si="0"/>
        <v>0</v>
      </c>
      <c r="Q50" s="907" t="e">
        <f>+P50/Balancesheet!$G$59</f>
        <v>#DIV/0!</v>
      </c>
    </row>
    <row r="51" spans="1:17">
      <c r="A51" s="485">
        <v>41</v>
      </c>
      <c r="B51" s="486"/>
      <c r="C51" s="908"/>
      <c r="D51" s="479"/>
      <c r="E51" s="488"/>
      <c r="F51" s="489"/>
      <c r="G51" s="1029"/>
      <c r="H51" s="490"/>
      <c r="I51" s="490"/>
      <c r="J51" s="490"/>
      <c r="K51" s="1030"/>
      <c r="L51" s="492"/>
      <c r="M51" s="492"/>
      <c r="N51" s="504"/>
      <c r="O51" s="926" t="e">
        <f>+M51/Balancesheet!$G$59</f>
        <v>#DIV/0!</v>
      </c>
      <c r="P51" s="909">
        <f t="shared" si="0"/>
        <v>0</v>
      </c>
      <c r="Q51" s="907" t="e">
        <f>+P51/Balancesheet!$G$59</f>
        <v>#DIV/0!</v>
      </c>
    </row>
    <row r="52" spans="1:17">
      <c r="A52" s="493">
        <v>42</v>
      </c>
      <c r="B52" s="494"/>
      <c r="C52" s="908"/>
      <c r="D52" s="479"/>
      <c r="E52" s="495"/>
      <c r="F52" s="496"/>
      <c r="G52" s="1029"/>
      <c r="H52" s="497"/>
      <c r="I52" s="497"/>
      <c r="J52" s="497"/>
      <c r="K52" s="1030"/>
      <c r="L52" s="498"/>
      <c r="M52" s="498"/>
      <c r="N52" s="504"/>
      <c r="O52" s="926" t="e">
        <f>+M52/Balancesheet!$G$59</f>
        <v>#DIV/0!</v>
      </c>
      <c r="P52" s="909">
        <f t="shared" si="0"/>
        <v>0</v>
      </c>
      <c r="Q52" s="907" t="e">
        <f>+P52/Balancesheet!$G$59</f>
        <v>#DIV/0!</v>
      </c>
    </row>
    <row r="53" spans="1:17">
      <c r="A53" s="485">
        <v>43</v>
      </c>
      <c r="B53" s="486"/>
      <c r="C53" s="908"/>
      <c r="D53" s="479"/>
      <c r="E53" s="488"/>
      <c r="F53" s="489"/>
      <c r="G53" s="1029"/>
      <c r="H53" s="490"/>
      <c r="I53" s="490"/>
      <c r="J53" s="490"/>
      <c r="K53" s="1030"/>
      <c r="L53" s="492"/>
      <c r="M53" s="492"/>
      <c r="N53" s="504"/>
      <c r="O53" s="926" t="e">
        <f>+M53/Balancesheet!$G$59</f>
        <v>#DIV/0!</v>
      </c>
      <c r="P53" s="909">
        <f t="shared" si="0"/>
        <v>0</v>
      </c>
      <c r="Q53" s="907" t="e">
        <f>+P53/Balancesheet!$G$59</f>
        <v>#DIV/0!</v>
      </c>
    </row>
    <row r="54" spans="1:17">
      <c r="A54" s="493">
        <v>44</v>
      </c>
      <c r="B54" s="494"/>
      <c r="C54" s="908"/>
      <c r="D54" s="479"/>
      <c r="E54" s="495"/>
      <c r="F54" s="496"/>
      <c r="G54" s="1029"/>
      <c r="H54" s="497"/>
      <c r="I54" s="497"/>
      <c r="J54" s="497"/>
      <c r="K54" s="1030"/>
      <c r="L54" s="498"/>
      <c r="M54" s="498"/>
      <c r="N54" s="504"/>
      <c r="O54" s="926" t="e">
        <f>+M54/Balancesheet!$G$59</f>
        <v>#DIV/0!</v>
      </c>
      <c r="P54" s="909">
        <f t="shared" si="0"/>
        <v>0</v>
      </c>
      <c r="Q54" s="907" t="e">
        <f>+P54/Balancesheet!$G$59</f>
        <v>#DIV/0!</v>
      </c>
    </row>
    <row r="55" spans="1:17">
      <c r="A55" s="485">
        <v>45</v>
      </c>
      <c r="B55" s="486"/>
      <c r="C55" s="908"/>
      <c r="D55" s="479"/>
      <c r="E55" s="488"/>
      <c r="F55" s="489"/>
      <c r="G55" s="1029"/>
      <c r="H55" s="490"/>
      <c r="I55" s="490"/>
      <c r="J55" s="490"/>
      <c r="K55" s="1030"/>
      <c r="L55" s="492"/>
      <c r="M55" s="492"/>
      <c r="N55" s="504"/>
      <c r="O55" s="926" t="e">
        <f>+M55/Balancesheet!$G$59</f>
        <v>#DIV/0!</v>
      </c>
      <c r="P55" s="909">
        <f t="shared" si="0"/>
        <v>0</v>
      </c>
      <c r="Q55" s="907" t="e">
        <f>+P55/Balancesheet!$G$59</f>
        <v>#DIV/0!</v>
      </c>
    </row>
    <row r="56" spans="1:17">
      <c r="A56" s="493">
        <v>46</v>
      </c>
      <c r="B56" s="494"/>
      <c r="C56" s="908"/>
      <c r="D56" s="479"/>
      <c r="E56" s="495"/>
      <c r="F56" s="496"/>
      <c r="G56" s="1029"/>
      <c r="H56" s="497"/>
      <c r="I56" s="497"/>
      <c r="J56" s="497"/>
      <c r="K56" s="1030"/>
      <c r="L56" s="498"/>
      <c r="M56" s="498"/>
      <c r="N56" s="504"/>
      <c r="O56" s="926" t="e">
        <f>+M56/Balancesheet!$G$59</f>
        <v>#DIV/0!</v>
      </c>
      <c r="P56" s="909">
        <f t="shared" si="0"/>
        <v>0</v>
      </c>
      <c r="Q56" s="907" t="e">
        <f>+P56/Balancesheet!$G$59</f>
        <v>#DIV/0!</v>
      </c>
    </row>
    <row r="57" spans="1:17">
      <c r="A57" s="485">
        <v>47</v>
      </c>
      <c r="B57" s="486"/>
      <c r="C57" s="908"/>
      <c r="D57" s="479"/>
      <c r="E57" s="488"/>
      <c r="F57" s="489"/>
      <c r="G57" s="1029"/>
      <c r="H57" s="490"/>
      <c r="I57" s="490"/>
      <c r="J57" s="490"/>
      <c r="K57" s="1030"/>
      <c r="L57" s="492"/>
      <c r="M57" s="492"/>
      <c r="N57" s="504"/>
      <c r="O57" s="926" t="e">
        <f>+M57/Balancesheet!$G$59</f>
        <v>#DIV/0!</v>
      </c>
      <c r="P57" s="909">
        <f t="shared" si="0"/>
        <v>0</v>
      </c>
      <c r="Q57" s="907" t="e">
        <f>+P57/Balancesheet!$G$59</f>
        <v>#DIV/0!</v>
      </c>
    </row>
    <row r="58" spans="1:17">
      <c r="A58" s="493">
        <v>48</v>
      </c>
      <c r="B58" s="494"/>
      <c r="C58" s="908"/>
      <c r="D58" s="479"/>
      <c r="E58" s="495"/>
      <c r="F58" s="496"/>
      <c r="G58" s="1029"/>
      <c r="H58" s="497"/>
      <c r="I58" s="497"/>
      <c r="J58" s="497"/>
      <c r="K58" s="1030"/>
      <c r="L58" s="498"/>
      <c r="M58" s="498"/>
      <c r="N58" s="504"/>
      <c r="O58" s="926" t="e">
        <f>+M58/Balancesheet!$G$59</f>
        <v>#DIV/0!</v>
      </c>
      <c r="P58" s="909">
        <f t="shared" si="0"/>
        <v>0</v>
      </c>
      <c r="Q58" s="907" t="e">
        <f>+P58/Balancesheet!$G$59</f>
        <v>#DIV/0!</v>
      </c>
    </row>
    <row r="59" spans="1:17">
      <c r="A59" s="485">
        <v>49</v>
      </c>
      <c r="B59" s="486"/>
      <c r="C59" s="908"/>
      <c r="D59" s="479"/>
      <c r="E59" s="488"/>
      <c r="F59" s="489"/>
      <c r="G59" s="1029"/>
      <c r="H59" s="490"/>
      <c r="I59" s="490"/>
      <c r="J59" s="490"/>
      <c r="K59" s="1030"/>
      <c r="L59" s="492"/>
      <c r="M59" s="492"/>
      <c r="N59" s="504"/>
      <c r="O59" s="926" t="e">
        <f>+M59/Balancesheet!$G$59</f>
        <v>#DIV/0!</v>
      </c>
      <c r="P59" s="909">
        <f t="shared" si="0"/>
        <v>0</v>
      </c>
      <c r="Q59" s="907" t="e">
        <f>+P59/Balancesheet!$G$59</f>
        <v>#DIV/0!</v>
      </c>
    </row>
    <row r="60" spans="1:17" ht="13.5" thickBot="1">
      <c r="A60" s="493">
        <v>50</v>
      </c>
      <c r="B60" s="494"/>
      <c r="C60" s="908"/>
      <c r="D60" s="479"/>
      <c r="E60" s="495"/>
      <c r="F60" s="496"/>
      <c r="G60" s="1029"/>
      <c r="H60" s="497"/>
      <c r="I60" s="497"/>
      <c r="J60" s="497"/>
      <c r="K60" s="1030"/>
      <c r="L60" s="498"/>
      <c r="M60" s="498"/>
      <c r="N60" s="504"/>
      <c r="O60" s="926" t="e">
        <f>+M60/Balancesheet!$G$59</f>
        <v>#DIV/0!</v>
      </c>
      <c r="P60" s="909">
        <f>+SUMIF($C$11:$C$60,C60,$M$11:$M$60)</f>
        <v>0</v>
      </c>
      <c r="Q60" s="907" t="e">
        <f>+P60/Balancesheet!$G$59</f>
        <v>#DIV/0!</v>
      </c>
    </row>
    <row r="61" spans="1:17" ht="13.5" thickBot="1">
      <c r="A61" s="1572" t="s">
        <v>670</v>
      </c>
      <c r="B61" s="1573"/>
      <c r="C61" s="1573"/>
      <c r="D61" s="1574"/>
      <c r="E61" s="499">
        <f>SUM(E11:E50)</f>
        <v>0</v>
      </c>
      <c r="F61" s="1028" t="e">
        <f>+(E11*F11+E12*F12+E13*F13+E14*F14+E15*F15+E16*F16+E17*F17+E18*F18+E19*F19+E20*F20+E21*F21+E22*F22+E23*F23+E24*F24+E25*F25+E26*F26+E27*F27+E28*F28+E29*F29+E30*F30+E31*F31+E32*F32+E33*F33+E34*F34+E35*F35+E36*F36+E37*F37+E38*F38+E39*F39+E40*F40+E41*F41+E42*F42+E43*F43+E44*F44+E45*F45+E46*F46+E47*F47+E48*F48+E49*F49+E50*F50+E51*F51+E52*F52+E53*F53+E54*F54+E55*F55+E56*F56+E57*F57+E58*F58+E59*F59+E60*F60)/E61</f>
        <v>#DIV/0!</v>
      </c>
      <c r="G61" s="905"/>
      <c r="H61" s="1573"/>
      <c r="I61" s="1573"/>
      <c r="J61" s="1573"/>
      <c r="K61" s="1575"/>
      <c r="L61" s="500">
        <f>SUM(L11:L50)</f>
        <v>0</v>
      </c>
      <c r="M61" s="500">
        <f>SUM(M11:M50)</f>
        <v>0</v>
      </c>
      <c r="N61" s="501"/>
      <c r="O61" s="927" t="e">
        <f>SUM(O11:O50)</f>
        <v>#DIV/0!</v>
      </c>
      <c r="P61" s="500"/>
      <c r="Q61" s="502"/>
    </row>
    <row r="62" spans="1:17">
      <c r="A62" s="7"/>
      <c r="B62" s="7"/>
      <c r="C62" s="7"/>
      <c r="D62" s="7"/>
      <c r="E62" s="503"/>
      <c r="F62" s="503"/>
      <c r="G62" s="925"/>
      <c r="H62" s="503"/>
      <c r="I62" s="503"/>
      <c r="J62" s="503"/>
      <c r="K62" s="925"/>
      <c r="L62" s="503"/>
      <c r="M62" s="1590" t="s">
        <v>877</v>
      </c>
      <c r="N62" s="1591"/>
      <c r="O62" s="928" t="e">
        <f>MAX(O11:O50)</f>
        <v>#DIV/0!</v>
      </c>
      <c r="P62" s="911" t="s">
        <v>878</v>
      </c>
      <c r="Q62" s="910" t="e">
        <f>MAX(Q11:Q50)</f>
        <v>#DIV/0!</v>
      </c>
    </row>
    <row r="63" spans="1:17">
      <c r="A63" s="7"/>
      <c r="B63" s="1032">
        <f>COUNTA(B11:B60)</f>
        <v>0</v>
      </c>
      <c r="C63" s="1032">
        <f>STATISTICS!C30</f>
        <v>0</v>
      </c>
      <c r="D63" s="7" t="str">
        <f>+IF(C63&lt;=40,IF(B63&gt;=C63,"","Зээлдэгчдийн тоо дутуу байх тул бүрэн шивж оруулна уу."),"")</f>
        <v/>
      </c>
      <c r="E63" s="503"/>
      <c r="F63" s="503"/>
      <c r="G63" s="925"/>
      <c r="H63" s="503"/>
      <c r="I63" s="503"/>
      <c r="J63" s="503"/>
      <c r="K63" s="925" t="str">
        <f>+IF(C63&lt;=40,IF(M61=Balancesheet!C19,"","Нийт зээлийн үлдэгдэл зөрүүтэй"),"")</f>
        <v/>
      </c>
      <c r="L63" s="503"/>
      <c r="M63" s="503"/>
      <c r="N63" s="1025"/>
      <c r="O63" s="1026"/>
      <c r="Q63" s="1027"/>
    </row>
    <row r="64" spans="1:17">
      <c r="A64" s="7"/>
      <c r="B64" s="7"/>
      <c r="C64" s="7"/>
      <c r="D64" s="7"/>
      <c r="E64" s="503"/>
      <c r="F64" s="503"/>
      <c r="G64" s="925"/>
      <c r="H64" s="503"/>
      <c r="I64" s="503"/>
      <c r="J64" s="503"/>
      <c r="K64" s="925"/>
      <c r="L64" s="503"/>
      <c r="M64" s="503"/>
      <c r="N64" s="1025"/>
      <c r="O64" s="1026"/>
      <c r="Q64" s="1027"/>
    </row>
    <row r="65" spans="1:17" ht="12.75" customHeight="1">
      <c r="A65" s="7"/>
      <c r="B65" s="1434" t="s">
        <v>647</v>
      </c>
      <c r="C65" s="1434"/>
      <c r="D65" s="1434"/>
      <c r="E65" s="1434"/>
      <c r="F65" s="1434"/>
      <c r="G65" s="1434"/>
      <c r="H65" s="1434"/>
      <c r="I65" s="1434"/>
      <c r="J65" s="1434"/>
      <c r="K65" s="1434"/>
      <c r="L65" s="1434"/>
      <c r="M65" s="1434"/>
      <c r="N65" s="1434"/>
      <c r="O65" s="1434"/>
      <c r="P65" s="1434"/>
      <c r="Q65" s="1434"/>
    </row>
    <row r="66" spans="1:17" ht="15">
      <c r="A66" s="7"/>
      <c r="B66" s="1553" t="s">
        <v>879</v>
      </c>
      <c r="C66" s="1423"/>
      <c r="D66" s="1423"/>
      <c r="E66" s="1423"/>
      <c r="F66" s="1423"/>
      <c r="G66" s="1423"/>
      <c r="H66" s="1423"/>
      <c r="I66" s="1423"/>
      <c r="J66" s="1423"/>
      <c r="K66" s="1423"/>
      <c r="L66" s="1423"/>
      <c r="M66" s="1423"/>
      <c r="N66" s="1423"/>
      <c r="O66" s="1423"/>
      <c r="P66" s="1423"/>
    </row>
    <row r="67" spans="1:17" ht="15">
      <c r="A67" s="7"/>
      <c r="B67" s="1553" t="s">
        <v>880</v>
      </c>
      <c r="C67" s="1423"/>
      <c r="D67" s="1423"/>
      <c r="E67" s="1423"/>
      <c r="F67" s="1423"/>
      <c r="G67" s="1423"/>
      <c r="H67" s="1423"/>
      <c r="I67" s="1423"/>
      <c r="J67" s="1423"/>
      <c r="K67" s="1423"/>
      <c r="L67" s="1423"/>
      <c r="M67" s="1423"/>
      <c r="N67" s="1423"/>
      <c r="O67" s="1423"/>
      <c r="P67" s="1423"/>
    </row>
    <row r="68" spans="1:17" ht="15">
      <c r="A68" s="7"/>
      <c r="B68" s="1538" t="s">
        <v>881</v>
      </c>
      <c r="C68" s="1423"/>
      <c r="D68" s="1423"/>
      <c r="E68" s="1423"/>
      <c r="F68" s="1423"/>
      <c r="G68" s="1423"/>
      <c r="H68" s="1423"/>
      <c r="I68" s="1423"/>
      <c r="J68" s="1423"/>
      <c r="K68" s="1423"/>
      <c r="L68" s="1423"/>
      <c r="M68" s="1423"/>
      <c r="N68" s="1423"/>
      <c r="O68" s="1423"/>
      <c r="P68" s="1423"/>
    </row>
    <row r="69" spans="1:17" ht="15">
      <c r="A69" s="7"/>
      <c r="B69" s="1538" t="s">
        <v>882</v>
      </c>
      <c r="C69" s="1423"/>
      <c r="D69" s="1423"/>
      <c r="E69" s="1423"/>
      <c r="F69" s="1423"/>
      <c r="G69" s="1423"/>
      <c r="H69" s="1423"/>
      <c r="I69" s="1423"/>
      <c r="J69" s="1423"/>
      <c r="K69" s="1423"/>
      <c r="L69" s="1423"/>
      <c r="M69" s="1423"/>
      <c r="N69" s="1423"/>
      <c r="O69" s="1423"/>
      <c r="P69" s="1423"/>
    </row>
    <row r="70" spans="1:17" ht="15">
      <c r="A70" s="7"/>
      <c r="B70" s="1538"/>
      <c r="C70" s="1423"/>
      <c r="D70" s="1423"/>
      <c r="E70" s="1423"/>
      <c r="F70" s="1423"/>
      <c r="G70" s="1423"/>
      <c r="H70" s="1423"/>
      <c r="I70" s="1423"/>
      <c r="J70" s="1423"/>
      <c r="K70" s="1423"/>
      <c r="L70" s="1423"/>
      <c r="M70" s="1423"/>
      <c r="N70" s="1423"/>
      <c r="O70" s="1423"/>
      <c r="P70" s="1423"/>
    </row>
    <row r="71" spans="1:17">
      <c r="A71" s="7"/>
      <c r="B71" s="966"/>
      <c r="C71" s="966"/>
      <c r="D71" s="966"/>
      <c r="E71" s="966"/>
      <c r="F71" s="966"/>
      <c r="G71" s="966"/>
      <c r="H71" s="966"/>
      <c r="I71" s="966"/>
      <c r="J71" s="966"/>
      <c r="K71" s="966"/>
      <c r="L71" s="966"/>
      <c r="M71" s="966"/>
      <c r="N71" s="966"/>
      <c r="O71" s="966"/>
      <c r="P71" s="966"/>
    </row>
    <row r="72" spans="1:17">
      <c r="A72" s="1419" t="s">
        <v>111</v>
      </c>
      <c r="B72" s="1419"/>
      <c r="C72" s="1419"/>
      <c r="D72" s="1419"/>
      <c r="E72" s="1419"/>
      <c r="F72" s="1419"/>
      <c r="G72" s="1419"/>
      <c r="H72" s="1419"/>
      <c r="I72" s="1419"/>
      <c r="J72" s="1419"/>
      <c r="K72" s="1419"/>
      <c r="L72" s="1419"/>
      <c r="M72" s="1419"/>
      <c r="N72" s="1419"/>
      <c r="O72" s="1419"/>
      <c r="P72" s="1419"/>
      <c r="Q72" s="1419"/>
    </row>
    <row r="73" spans="1:17">
      <c r="A73" s="1431" t="s">
        <v>112</v>
      </c>
      <c r="B73" s="1431"/>
      <c r="C73" s="1431"/>
      <c r="D73" s="1431"/>
      <c r="E73" s="1431"/>
      <c r="F73" s="1431"/>
      <c r="G73" s="1431"/>
      <c r="H73" s="1431"/>
      <c r="I73" s="1431"/>
      <c r="J73" s="1431"/>
      <c r="K73" s="1431"/>
      <c r="L73" s="1431"/>
      <c r="M73" s="1431"/>
      <c r="N73" s="1431"/>
      <c r="O73" s="1431"/>
      <c r="P73" s="1431"/>
      <c r="Q73" s="1431"/>
    </row>
    <row r="74" spans="1:17">
      <c r="I74" s="40" t="s">
        <v>392</v>
      </c>
      <c r="K74" s="29" t="str">
        <f>+STATISTICS!C112</f>
        <v>/Нэр/</v>
      </c>
    </row>
    <row r="75" spans="1:17">
      <c r="I75" s="42"/>
    </row>
    <row r="76" spans="1:17">
      <c r="I76" s="40" t="s">
        <v>115</v>
      </c>
      <c r="K76" s="29" t="str">
        <f>+STATISTICS!C114</f>
        <v>/Нэр/</v>
      </c>
    </row>
    <row r="80" spans="1:17">
      <c r="A80" s="300"/>
      <c r="B80" s="551" t="s">
        <v>883</v>
      </c>
      <c r="C80" s="300"/>
      <c r="D80" s="300"/>
      <c r="E80" s="300"/>
      <c r="F80" s="300"/>
    </row>
    <row r="81" spans="1:6">
      <c r="A81" s="300"/>
      <c r="B81" s="551" t="s">
        <v>884</v>
      </c>
      <c r="C81" s="300"/>
      <c r="D81" s="300"/>
      <c r="E81" s="300"/>
      <c r="F81" s="300"/>
    </row>
    <row r="82" spans="1:6">
      <c r="A82" s="300"/>
      <c r="B82" s="551" t="s">
        <v>885</v>
      </c>
      <c r="C82" s="300"/>
      <c r="D82" s="300"/>
      <c r="E82" s="300"/>
      <c r="F82" s="300"/>
    </row>
    <row r="83" spans="1:6">
      <c r="A83" s="300"/>
      <c r="B83" s="551" t="s">
        <v>886</v>
      </c>
      <c r="C83" s="300"/>
      <c r="D83" s="300"/>
      <c r="E83" s="300"/>
      <c r="F83" s="300"/>
    </row>
    <row r="84" spans="1:6">
      <c r="A84" s="300"/>
      <c r="B84" s="551" t="s">
        <v>887</v>
      </c>
      <c r="C84" s="300"/>
      <c r="D84" s="300"/>
      <c r="E84" s="300"/>
      <c r="F84" s="300"/>
    </row>
    <row r="85" spans="1:6">
      <c r="A85" s="300"/>
      <c r="B85" s="551" t="s">
        <v>267</v>
      </c>
      <c r="C85" s="300"/>
      <c r="D85" s="300"/>
      <c r="E85" s="300"/>
      <c r="F85" s="300"/>
    </row>
    <row r="86" spans="1:6">
      <c r="A86" s="300"/>
      <c r="B86" s="551" t="s">
        <v>888</v>
      </c>
      <c r="C86" s="300"/>
      <c r="D86" s="300"/>
      <c r="E86" s="300"/>
      <c r="F86" s="300"/>
    </row>
    <row r="87" spans="1:6">
      <c r="A87" s="300"/>
      <c r="B87" s="551" t="s">
        <v>889</v>
      </c>
      <c r="C87" s="300"/>
      <c r="D87" s="300"/>
      <c r="E87" s="300"/>
      <c r="F87" s="300"/>
    </row>
    <row r="88" spans="1:6">
      <c r="A88" s="300"/>
      <c r="B88" s="551" t="s">
        <v>890</v>
      </c>
      <c r="C88" s="300"/>
      <c r="D88" s="300"/>
      <c r="E88" s="300"/>
      <c r="F88" s="300"/>
    </row>
    <row r="89" spans="1:6">
      <c r="A89" s="300"/>
      <c r="B89" s="551" t="s">
        <v>891</v>
      </c>
      <c r="C89" s="300"/>
      <c r="D89" s="300"/>
      <c r="E89" s="300"/>
      <c r="F89" s="300"/>
    </row>
    <row r="90" spans="1:6">
      <c r="A90" s="300"/>
      <c r="B90" s="551" t="s">
        <v>892</v>
      </c>
      <c r="C90" s="300"/>
      <c r="D90" s="300"/>
      <c r="E90" s="300"/>
      <c r="F90" s="300"/>
    </row>
    <row r="91" spans="1:6">
      <c r="A91" s="300"/>
      <c r="B91" s="551" t="s">
        <v>893</v>
      </c>
      <c r="C91" s="300"/>
      <c r="D91" s="300"/>
      <c r="E91" s="300"/>
      <c r="F91" s="300"/>
    </row>
    <row r="92" spans="1:6">
      <c r="A92" s="300"/>
      <c r="B92" s="551" t="s">
        <v>894</v>
      </c>
      <c r="C92" s="300"/>
      <c r="D92" s="300"/>
      <c r="E92" s="300"/>
      <c r="F92" s="300"/>
    </row>
    <row r="93" spans="1:6">
      <c r="A93" s="300"/>
      <c r="B93" s="551" t="s">
        <v>895</v>
      </c>
      <c r="C93" s="300"/>
      <c r="D93" s="300"/>
      <c r="E93" s="300"/>
      <c r="F93" s="300"/>
    </row>
    <row r="94" spans="1:6">
      <c r="A94" s="300"/>
      <c r="B94" s="551" t="s">
        <v>896</v>
      </c>
      <c r="C94" s="300"/>
      <c r="D94" s="300"/>
      <c r="E94" s="300"/>
      <c r="F94" s="300"/>
    </row>
    <row r="95" spans="1:6">
      <c r="A95" s="300"/>
      <c r="B95" s="551" t="s">
        <v>897</v>
      </c>
      <c r="C95" s="300"/>
      <c r="D95" s="300"/>
      <c r="E95" s="300"/>
      <c r="F95" s="300"/>
    </row>
    <row r="96" spans="1:6">
      <c r="A96" s="300"/>
      <c r="B96" s="551" t="s">
        <v>898</v>
      </c>
      <c r="C96" s="300"/>
      <c r="D96" s="300"/>
      <c r="E96" s="300"/>
      <c r="F96" s="300"/>
    </row>
    <row r="97" spans="1:6">
      <c r="A97" s="300"/>
      <c r="B97" s="551" t="s">
        <v>899</v>
      </c>
      <c r="C97" s="300"/>
      <c r="D97" s="300"/>
      <c r="E97" s="300"/>
      <c r="F97" s="300"/>
    </row>
    <row r="98" spans="1:6">
      <c r="A98" s="300"/>
      <c r="B98" s="551" t="s">
        <v>900</v>
      </c>
      <c r="C98" s="300"/>
      <c r="D98" s="300"/>
      <c r="E98" s="300"/>
      <c r="F98" s="300"/>
    </row>
    <row r="99" spans="1:6">
      <c r="A99" s="300"/>
      <c r="B99" s="551" t="s">
        <v>901</v>
      </c>
      <c r="C99" s="300"/>
      <c r="D99" s="300"/>
      <c r="E99" s="300"/>
      <c r="F99" s="300"/>
    </row>
    <row r="100" spans="1:6">
      <c r="A100" s="300"/>
      <c r="B100" s="551" t="s">
        <v>902</v>
      </c>
      <c r="C100" s="300"/>
      <c r="D100" s="300"/>
      <c r="E100" s="300"/>
      <c r="F100" s="300"/>
    </row>
    <row r="101" spans="1:6">
      <c r="A101" s="300"/>
      <c r="B101" s="551" t="s">
        <v>637</v>
      </c>
      <c r="C101" s="300"/>
      <c r="D101" s="300"/>
      <c r="E101" s="300"/>
      <c r="F101" s="300"/>
    </row>
  </sheetData>
  <sheetProtection algorithmName="SHA-512" hashValue="QpxTlJMQRaV3M3BY50kAdq9U222JOfxnfA69zia51nTCKqnsbLtGebqZ5FJp0qyNA9HGocF42tnky/7INQGANw==" saltValue="d46nC02qau1Y/hax7lYMpA==" spinCount="100000" sheet="1" objects="1" scenarios="1"/>
  <mergeCells count="30">
    <mergeCell ref="J9:J10"/>
    <mergeCell ref="B66:P66"/>
    <mergeCell ref="M62:N62"/>
    <mergeCell ref="K9:K10"/>
    <mergeCell ref="L9:L10"/>
    <mergeCell ref="M9:M10"/>
    <mergeCell ref="N9:N10"/>
    <mergeCell ref="B65:Q65"/>
    <mergeCell ref="A4:Q4"/>
    <mergeCell ref="A5:Q5"/>
    <mergeCell ref="A6:Q6"/>
    <mergeCell ref="A61:D61"/>
    <mergeCell ref="H61:K61"/>
    <mergeCell ref="P9:P10"/>
    <mergeCell ref="Q9:Q10"/>
    <mergeCell ref="A8:B8"/>
    <mergeCell ref="A9:A10"/>
    <mergeCell ref="B9:D9"/>
    <mergeCell ref="G9:G10"/>
    <mergeCell ref="O9:O10"/>
    <mergeCell ref="E9:E10"/>
    <mergeCell ref="F9:F10"/>
    <mergeCell ref="H9:H10"/>
    <mergeCell ref="I9:I10"/>
    <mergeCell ref="A72:Q72"/>
    <mergeCell ref="A73:Q73"/>
    <mergeCell ref="B67:P67"/>
    <mergeCell ref="B68:P68"/>
    <mergeCell ref="B69:P69"/>
    <mergeCell ref="B70:P70"/>
  </mergeCells>
  <dataValidations xWindow="509" yWindow="402" count="11">
    <dataValidation type="date" showErrorMessage="1" sqref="H11:J60" xr:uid="{7194445B-8C91-404B-904D-582FBBA9CA76}">
      <formula1>1</formula1>
      <formula2>109860</formula2>
    </dataValidation>
    <dataValidation type="decimal" allowBlank="1" showInputMessage="1" showErrorMessage="1" sqref="L11:L61" xr:uid="{6429A431-BF38-4DD5-978B-C3A108377A52}">
      <formula1>0</formula1>
      <formula2>10000000000000</formula2>
    </dataValidation>
    <dataValidation type="decimal" allowBlank="1" showInputMessage="1" showErrorMessage="1" prompt="Хүү сарын 1.5% бол мэдээллийг 0.15, 0.015 бус 1.5 гэж оруулахыг анхаарна уу!" sqref="F11:F60" xr:uid="{C06BC2C5-F144-4D25-B433-E86A06746010}">
      <formula1>0</formula1>
      <formula2>0.2</formula2>
    </dataValidation>
    <dataValidation type="textLength" allowBlank="1" showInputMessage="1" showErrorMessage="1" sqref="C11:C60" xr:uid="{9665708B-5269-4988-84F6-72AD30CD9114}">
      <formula1>1</formula1>
      <formula2>10</formula2>
    </dataValidation>
    <dataValidation type="decimal" allowBlank="1" showInputMessage="1" showErrorMessage="1" sqref="P11:P61 E11:E61 M11:M61" xr:uid="{AFA7ABA3-6059-40F9-9E09-924D1302CA8F}">
      <formula1>0</formula1>
      <formula2>100000000000000</formula2>
    </dataValidation>
    <dataValidation type="list" allowBlank="1" showInputMessage="1" showErrorMessage="1" prompt="Сонгоно уу!" sqref="D11:D60" xr:uid="{DD0C6154-59F7-4718-A7DE-E9042A4CFFB0}">
      <formula1>"Эр, Эм"</formula1>
    </dataValidation>
    <dataValidation type="list" allowBlank="1" showInputMessage="1" showErrorMessage="1" prompt="Сонгоно уу!" sqref="N11:N60" xr:uid="{A0B4BD35-A274-4B62-BB8C-176D8AA55149}">
      <formula1>"Хэвийн, Хугацаа хэтэрсэн, Хэвийн бус, Эргэлзээтэй, Муу"</formula1>
    </dataValidation>
    <dataValidation type="list" allowBlank="1" showInputMessage="1" showErrorMessage="1" prompt="Сонгоно уу_x000a_" sqref="H13" xr:uid="{A5F6CA27-AB40-4914-9DDC-C5547EE01429}">
      <formula1>#REF!</formula1>
    </dataValidation>
    <dataValidation type="list" allowBlank="1" showInputMessage="1" showErrorMessage="1" prompt="Сонгоно уу_x000a_" sqref="K11:K60" xr:uid="{EE97A1BA-C079-4BC7-A7DF-17802389A7F7}">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textLength" operator="greaterThan" allowBlank="1" showInputMessage="1" showErrorMessage="1" sqref="B11:B60" xr:uid="{BCE547FC-B46C-4E11-B309-10B6E3D8B1FA}">
      <formula1>1</formula1>
    </dataValidation>
    <dataValidation type="list" allowBlank="1" showInputMessage="1" showErrorMessage="1" prompt="Сонгоно уу_x000a_" sqref="G11:G60" xr:uid="{618321D0-1411-4005-841E-B080F38FEAA2}">
      <formula1>$B$80:$B$101</formula1>
    </dataValidation>
  </dataValidations>
  <pageMargins left="0.7" right="0.7" top="0.75" bottom="0.75" header="0.3" footer="0.3"/>
  <pageSetup paperSize="9" scale="4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Тайлан нөхөх зааварчилгаа</vt:lpstr>
      <vt:lpstr>STATISTICS</vt:lpstr>
      <vt:lpstr>Balance</vt:lpstr>
      <vt:lpstr>Balancesheet</vt:lpstr>
      <vt:lpstr>INCOME</vt:lpstr>
      <vt:lpstr>LOAN-PD</vt:lpstr>
      <vt:lpstr>LOAN-green</vt:lpstr>
      <vt:lpstr>SAVING</vt:lpstr>
      <vt:lpstr>40 BIG LOAN</vt:lpstr>
      <vt:lpstr>INSIDER</vt:lpstr>
      <vt:lpstr>40 BIG SAVING</vt:lpstr>
      <vt:lpstr>BIG SHARES</vt:lpstr>
      <vt:lpstr>ALM</vt:lpstr>
      <vt:lpstr>A</vt:lpstr>
      <vt:lpstr>E</vt:lpstr>
      <vt:lpstr>R</vt:lpstr>
      <vt:lpstr>L</vt:lpstr>
      <vt:lpstr>PRUD RATIO</vt:lpstr>
      <vt:lpstr>'40 BIG LOAN'!Print_Area</vt:lpstr>
      <vt:lpstr>'40 BIG SAVING'!Print_Area</vt:lpstr>
      <vt:lpstr>A!Print_Area</vt:lpstr>
      <vt:lpstr>ALM!Print_Area</vt:lpstr>
      <vt:lpstr>Balance!Print_Area</vt:lpstr>
      <vt:lpstr>Balancesheet!Print_Area</vt:lpstr>
      <vt:lpstr>'BIG SHARES'!Print_Area</vt:lpstr>
      <vt:lpstr>E!Print_Area</vt:lpstr>
      <vt:lpstr>INCOME!Print_Area</vt:lpstr>
      <vt:lpstr>INSIDER!Print_Area</vt:lpstr>
      <vt:lpstr>L!Print_Area</vt:lpstr>
      <vt:lpstr>'LOAN-green'!Print_Area</vt:lpstr>
      <vt:lpstr>'LOAN-PD'!Print_Area</vt:lpstr>
      <vt:lpstr>'PRUD RATIO'!Print_Area</vt:lpstr>
      <vt:lpstr>'R'!Print_Area</vt:lpstr>
      <vt:lpstr>SAVING!Print_Area</vt:lpstr>
      <vt:lpstr>STATISTICS!Print_Area</vt:lpstr>
      <vt:lpstr>'Тайлан нөхөх зааварчилгаа'!Print_Area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Tsolmon Tugsbayar</dc:creator>
  <cp:keywords/>
  <dc:description/>
  <cp:lastModifiedBy>Myagmarsuren Dashdondog</cp:lastModifiedBy>
  <cp:revision/>
  <cp:lastPrinted>2024-09-05T06:57:40Z</cp:lastPrinted>
  <dcterms:created xsi:type="dcterms:W3CDTF">2024-04-29T06:49:21Z</dcterms:created>
  <dcterms:modified xsi:type="dcterms:W3CDTF">2024-09-05T08:20:47Z</dcterms:modified>
  <cp:category/>
  <cp:contentStatus/>
</cp:coreProperties>
</file>